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п р о е к т  б ю д ж е т а 2 0 2 2\материалы одновр.с бюджетом\"/>
    </mc:Choice>
  </mc:AlternateContent>
  <xr:revisionPtr revIDLastSave="0" documentId="13_ncr:1_{4D49EDFD-6BB5-422C-989E-7F1B8E5B2570}" xr6:coauthVersionLast="47" xr6:coauthVersionMax="47" xr10:uidLastSave="{00000000-0000-0000-0000-000000000000}"/>
  <bookViews>
    <workbookView xWindow="3510" yWindow="3135" windowWidth="20970" windowHeight="13065" activeTab="1" xr2:uid="{00000000-000D-0000-FFFF-FFFF00000000}"/>
  </bookViews>
  <sheets>
    <sheet name="Лист1" sheetId="1" r:id="rId1"/>
    <sheet name="Лист2" sheetId="2" r:id="rId2"/>
  </sheets>
  <definedNames>
    <definedName name="_xlnm.Print_Titles" localSheetId="0">Лист1!$4:$4</definedName>
    <definedName name="_xlnm.Print_Titles" localSheetId="1">Лист2!$4:$4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B66" i="1"/>
  <c r="K7" i="2"/>
  <c r="K27" i="2"/>
  <c r="D64" i="2"/>
  <c r="D7" i="2"/>
  <c r="D131" i="2"/>
  <c r="D130" i="2"/>
  <c r="D118" i="2"/>
  <c r="D117" i="2"/>
  <c r="D124" i="2"/>
  <c r="D123" i="2"/>
  <c r="D106" i="2"/>
  <c r="D105" i="2"/>
  <c r="D100" i="2"/>
  <c r="D94" i="2"/>
  <c r="D93" i="2"/>
  <c r="D88" i="2"/>
  <c r="D87" i="2"/>
  <c r="D82" i="2"/>
  <c r="D81" i="2"/>
  <c r="D76" i="2"/>
  <c r="D75" i="2"/>
  <c r="D52" i="2"/>
  <c r="D51" i="2"/>
  <c r="D46" i="2"/>
  <c r="D45" i="2"/>
  <c r="D34" i="2"/>
  <c r="D28" i="2"/>
  <c r="D33" i="2"/>
  <c r="E27" i="2"/>
  <c r="D27" i="2"/>
  <c r="D16" i="2"/>
  <c r="D15" i="2"/>
  <c r="J16" i="2"/>
  <c r="J7" i="2"/>
  <c r="F7" i="2"/>
  <c r="F33" i="2"/>
  <c r="J130" i="2"/>
  <c r="F131" i="2"/>
  <c r="J131" i="2"/>
  <c r="F130" i="2"/>
  <c r="J124" i="2"/>
  <c r="J123" i="2"/>
  <c r="F124" i="2"/>
  <c r="F123" i="2"/>
  <c r="F118" i="2"/>
  <c r="J106" i="2"/>
  <c r="J105" i="2"/>
  <c r="F106" i="2"/>
  <c r="F105" i="2"/>
  <c r="J100" i="2"/>
  <c r="F100" i="2"/>
  <c r="J94" i="2"/>
  <c r="J93" i="2"/>
  <c r="F94" i="2"/>
  <c r="F93" i="2"/>
  <c r="J88" i="2"/>
  <c r="F88" i="2"/>
  <c r="J82" i="2"/>
  <c r="J81" i="2"/>
  <c r="F82" i="2"/>
  <c r="F81" i="2"/>
  <c r="J76" i="2"/>
  <c r="J75" i="2"/>
  <c r="F76" i="2"/>
  <c r="F75" i="2"/>
  <c r="J64" i="2"/>
  <c r="J63" i="2"/>
  <c r="F64" i="2"/>
  <c r="F63" i="2"/>
  <c r="J58" i="2"/>
  <c r="F58" i="2"/>
  <c r="J52" i="2"/>
  <c r="J51" i="2"/>
  <c r="F52" i="2"/>
  <c r="F51" i="2"/>
  <c r="J34" i="2"/>
  <c r="J33" i="2"/>
  <c r="F34" i="2"/>
  <c r="J28" i="2"/>
  <c r="J27" i="2"/>
  <c r="F28" i="2"/>
  <c r="F27" i="2"/>
  <c r="J15" i="2"/>
  <c r="F16" i="2"/>
  <c r="F15" i="2"/>
  <c r="F55" i="1" l="1"/>
  <c r="F31" i="1"/>
  <c r="F29" i="1"/>
  <c r="F22" i="1"/>
  <c r="E110" i="1"/>
  <c r="B110" i="1"/>
  <c r="C110" i="1"/>
  <c r="B5" i="1"/>
  <c r="M133" i="2" l="1"/>
  <c r="M132" i="2"/>
  <c r="M130" i="2"/>
  <c r="M129" i="2"/>
  <c r="M127" i="2"/>
  <c r="M126" i="2"/>
  <c r="M125" i="2"/>
  <c r="M123" i="2"/>
  <c r="M122" i="2"/>
  <c r="M120" i="2"/>
  <c r="M119" i="2"/>
  <c r="M117" i="2"/>
  <c r="M116" i="2"/>
  <c r="M114" i="2"/>
  <c r="M113" i="2"/>
  <c r="M112" i="2"/>
  <c r="M111" i="2"/>
  <c r="M110" i="2"/>
  <c r="M108" i="2"/>
  <c r="M107" i="2"/>
  <c r="M105" i="2"/>
  <c r="M104" i="2"/>
  <c r="M102" i="2"/>
  <c r="M101" i="2"/>
  <c r="M100" i="2"/>
  <c r="M99" i="2"/>
  <c r="M98" i="2"/>
  <c r="M96" i="2"/>
  <c r="M95" i="2"/>
  <c r="M92" i="2"/>
  <c r="M90" i="2"/>
  <c r="M89" i="2"/>
  <c r="M87" i="2"/>
  <c r="M86" i="2"/>
  <c r="M84" i="2"/>
  <c r="M83" i="2"/>
  <c r="M81" i="2"/>
  <c r="M80" i="2"/>
  <c r="M78" i="2"/>
  <c r="M77" i="2"/>
  <c r="M74" i="2"/>
  <c r="M66" i="2"/>
  <c r="M65" i="2"/>
  <c r="M63" i="2"/>
  <c r="M62" i="2"/>
  <c r="M60" i="2"/>
  <c r="M59" i="2"/>
  <c r="M58" i="2"/>
  <c r="M57" i="2"/>
  <c r="M56" i="2"/>
  <c r="M54" i="2"/>
  <c r="M53" i="2"/>
  <c r="M51" i="2"/>
  <c r="M50" i="2"/>
  <c r="M48" i="2"/>
  <c r="M47" i="2"/>
  <c r="M45" i="2"/>
  <c r="M44" i="2"/>
  <c r="M35" i="2"/>
  <c r="M33" i="2"/>
  <c r="M32" i="2"/>
  <c r="M30" i="2"/>
  <c r="M29" i="2"/>
  <c r="M27" i="2"/>
  <c r="M26" i="2"/>
  <c r="M14" i="2"/>
  <c r="H62" i="1"/>
  <c r="H63" i="1"/>
  <c r="H64" i="1"/>
  <c r="H65" i="1"/>
  <c r="H53" i="1"/>
  <c r="H52" i="1"/>
  <c r="H51" i="1"/>
  <c r="H50" i="1"/>
  <c r="H49" i="1"/>
  <c r="H48" i="1"/>
  <c r="H46" i="1"/>
  <c r="H45" i="1"/>
  <c r="H44" i="1"/>
  <c r="H43" i="1"/>
  <c r="H42" i="1"/>
  <c r="H41" i="1"/>
  <c r="H39" i="1"/>
  <c r="H38" i="1"/>
  <c r="H35" i="1"/>
  <c r="H34" i="1"/>
  <c r="H33" i="1"/>
  <c r="H32" i="1"/>
  <c r="H31" i="1"/>
  <c r="H30" i="1"/>
  <c r="H28" i="1"/>
  <c r="H27" i="1"/>
  <c r="H26" i="1"/>
  <c r="H24" i="1"/>
  <c r="H23" i="1"/>
  <c r="H21" i="1"/>
  <c r="H20" i="1"/>
  <c r="H19" i="1"/>
  <c r="H18" i="1"/>
  <c r="H17" i="1"/>
  <c r="H16" i="1"/>
  <c r="H10" i="1"/>
  <c r="M36" i="2"/>
  <c r="A36" i="2"/>
  <c r="K21" i="2"/>
  <c r="K23" i="2"/>
  <c r="K24" i="2"/>
  <c r="H58" i="1"/>
  <c r="H59" i="1"/>
  <c r="C60" i="1"/>
  <c r="B60" i="1"/>
  <c r="L9" i="2"/>
  <c r="J128" i="2"/>
  <c r="A118" i="2"/>
  <c r="J103" i="2"/>
  <c r="M94" i="2"/>
  <c r="M88" i="2"/>
  <c r="A81" i="2"/>
  <c r="M64" i="2"/>
  <c r="J39" i="2"/>
  <c r="J43" i="2"/>
  <c r="L36" i="2"/>
  <c r="L129" i="2"/>
  <c r="M15" i="2"/>
  <c r="L133" i="2"/>
  <c r="H133" i="2"/>
  <c r="A133" i="2"/>
  <c r="L132" i="2"/>
  <c r="H132" i="2"/>
  <c r="A132" i="2"/>
  <c r="A131" i="2"/>
  <c r="H131" i="2"/>
  <c r="A130" i="2"/>
  <c r="H130" i="2"/>
  <c r="H129" i="2"/>
  <c r="A129" i="2"/>
  <c r="G128" i="2"/>
  <c r="F128" i="2"/>
  <c r="E128" i="2"/>
  <c r="D128" i="2"/>
  <c r="L127" i="2"/>
  <c r="H127" i="2"/>
  <c r="A127" i="2"/>
  <c r="L126" i="2"/>
  <c r="H126" i="2"/>
  <c r="A126" i="2"/>
  <c r="L125" i="2"/>
  <c r="H125" i="2"/>
  <c r="A125" i="2"/>
  <c r="H124" i="2"/>
  <c r="H123" i="2"/>
  <c r="L122" i="2"/>
  <c r="H122" i="2"/>
  <c r="A122" i="2"/>
  <c r="G121" i="2"/>
  <c r="F121" i="2"/>
  <c r="E121" i="2"/>
  <c r="D121" i="2"/>
  <c r="L120" i="2"/>
  <c r="H120" i="2"/>
  <c r="A120" i="2"/>
  <c r="L119" i="2"/>
  <c r="H119" i="2"/>
  <c r="A119" i="2"/>
  <c r="L118" i="2"/>
  <c r="L117" i="2"/>
  <c r="H117" i="2"/>
  <c r="A117" i="2"/>
  <c r="L116" i="2"/>
  <c r="H116" i="2"/>
  <c r="A116" i="2"/>
  <c r="G115" i="2"/>
  <c r="E115" i="2"/>
  <c r="D115" i="2"/>
  <c r="L114" i="2"/>
  <c r="H114" i="2"/>
  <c r="A114" i="2"/>
  <c r="L113" i="2"/>
  <c r="H113" i="2"/>
  <c r="A113" i="2"/>
  <c r="L112" i="2"/>
  <c r="H112" i="2"/>
  <c r="A112" i="2"/>
  <c r="L111" i="2"/>
  <c r="H111" i="2"/>
  <c r="A111" i="2"/>
  <c r="L110" i="2"/>
  <c r="H110" i="2"/>
  <c r="A110" i="2"/>
  <c r="L109" i="2"/>
  <c r="K109" i="2"/>
  <c r="J109" i="2"/>
  <c r="M109" i="2" s="1"/>
  <c r="G109" i="2"/>
  <c r="F109" i="2"/>
  <c r="E109" i="2"/>
  <c r="D109" i="2"/>
  <c r="H109" i="2" s="1"/>
  <c r="L108" i="2"/>
  <c r="H108" i="2"/>
  <c r="A108" i="2"/>
  <c r="L107" i="2"/>
  <c r="H107" i="2"/>
  <c r="A107" i="2"/>
  <c r="H106" i="2"/>
  <c r="A105" i="2"/>
  <c r="H105" i="2"/>
  <c r="L104" i="2"/>
  <c r="H104" i="2"/>
  <c r="A104" i="2"/>
  <c r="G103" i="2"/>
  <c r="F103" i="2"/>
  <c r="E103" i="2"/>
  <c r="D103" i="2"/>
  <c r="L102" i="2"/>
  <c r="H102" i="2"/>
  <c r="A102" i="2"/>
  <c r="L101" i="2"/>
  <c r="H101" i="2"/>
  <c r="A101" i="2"/>
  <c r="L100" i="2"/>
  <c r="H100" i="2"/>
  <c r="A100" i="2"/>
  <c r="L99" i="2"/>
  <c r="H99" i="2"/>
  <c r="A99" i="2"/>
  <c r="L98" i="2"/>
  <c r="H98" i="2"/>
  <c r="A98" i="2"/>
  <c r="K97" i="2"/>
  <c r="J97" i="2"/>
  <c r="G97" i="2"/>
  <c r="F97" i="2"/>
  <c r="E97" i="2"/>
  <c r="D97" i="2"/>
  <c r="H97" i="2" s="1"/>
  <c r="L96" i="2"/>
  <c r="H96" i="2"/>
  <c r="A96" i="2"/>
  <c r="L95" i="2"/>
  <c r="H95" i="2"/>
  <c r="A95" i="2"/>
  <c r="H93" i="2"/>
  <c r="A93" i="2"/>
  <c r="L92" i="2"/>
  <c r="H92" i="2"/>
  <c r="A92" i="2"/>
  <c r="G91" i="2"/>
  <c r="E91" i="2"/>
  <c r="D91" i="2"/>
  <c r="L90" i="2"/>
  <c r="H90" i="2"/>
  <c r="A90" i="2"/>
  <c r="L89" i="2"/>
  <c r="H89" i="2"/>
  <c r="A89" i="2"/>
  <c r="H88" i="2"/>
  <c r="L87" i="2"/>
  <c r="H87" i="2"/>
  <c r="A87" i="2"/>
  <c r="L86" i="2"/>
  <c r="H86" i="2"/>
  <c r="A86" i="2"/>
  <c r="J85" i="2"/>
  <c r="G85" i="2"/>
  <c r="F85" i="2"/>
  <c r="E85" i="2"/>
  <c r="D85" i="2"/>
  <c r="L84" i="2"/>
  <c r="H84" i="2"/>
  <c r="A84" i="2"/>
  <c r="L83" i="2"/>
  <c r="H83" i="2"/>
  <c r="A83" i="2"/>
  <c r="L80" i="2"/>
  <c r="H80" i="2"/>
  <c r="A80" i="2"/>
  <c r="G79" i="2"/>
  <c r="E79" i="2"/>
  <c r="D79" i="2"/>
  <c r="L78" i="2"/>
  <c r="H78" i="2"/>
  <c r="A78" i="2"/>
  <c r="L77" i="2"/>
  <c r="H77" i="2"/>
  <c r="A77" i="2"/>
  <c r="K69" i="2"/>
  <c r="H76" i="2"/>
  <c r="L74" i="2"/>
  <c r="H74" i="2"/>
  <c r="A74" i="2"/>
  <c r="G73" i="2"/>
  <c r="E73" i="2"/>
  <c r="D73" i="2"/>
  <c r="K72" i="2"/>
  <c r="J72" i="2"/>
  <c r="M72" i="2" s="1"/>
  <c r="G72" i="2"/>
  <c r="F72" i="2"/>
  <c r="L72" i="2" s="1"/>
  <c r="E72" i="2"/>
  <c r="D72" i="2"/>
  <c r="H72" i="2" s="1"/>
  <c r="K71" i="2"/>
  <c r="J71" i="2"/>
  <c r="J11" i="2" s="1"/>
  <c r="G71" i="2"/>
  <c r="F71" i="2"/>
  <c r="E71" i="2"/>
  <c r="D71" i="2"/>
  <c r="H71" i="2" s="1"/>
  <c r="G70" i="2"/>
  <c r="E70" i="2"/>
  <c r="D70" i="2"/>
  <c r="G69" i="2"/>
  <c r="E69" i="2"/>
  <c r="D69" i="2"/>
  <c r="K68" i="2"/>
  <c r="J68" i="2"/>
  <c r="G68" i="2"/>
  <c r="F68" i="2"/>
  <c r="L68" i="2" s="1"/>
  <c r="E68" i="2"/>
  <c r="D68" i="2"/>
  <c r="H68" i="2" s="1"/>
  <c r="L66" i="2"/>
  <c r="H66" i="2"/>
  <c r="A66" i="2"/>
  <c r="L65" i="2"/>
  <c r="H65" i="2"/>
  <c r="A65" i="2"/>
  <c r="L64" i="2"/>
  <c r="L63" i="2"/>
  <c r="H63" i="2"/>
  <c r="A63" i="2"/>
  <c r="L62" i="2"/>
  <c r="H62" i="2"/>
  <c r="A62" i="2"/>
  <c r="K61" i="2"/>
  <c r="J61" i="2"/>
  <c r="G61" i="2"/>
  <c r="E61" i="2"/>
  <c r="D61" i="2"/>
  <c r="L60" i="2"/>
  <c r="H60" i="2"/>
  <c r="A60" i="2"/>
  <c r="L59" i="2"/>
  <c r="H59" i="2"/>
  <c r="A59" i="2"/>
  <c r="L57" i="2"/>
  <c r="H57" i="2"/>
  <c r="A57" i="2"/>
  <c r="L56" i="2"/>
  <c r="H56" i="2"/>
  <c r="A56" i="2"/>
  <c r="K55" i="2"/>
  <c r="J55" i="2"/>
  <c r="G55" i="2"/>
  <c r="E55" i="2"/>
  <c r="D55" i="2"/>
  <c r="L54" i="2"/>
  <c r="H54" i="2"/>
  <c r="A54" i="2"/>
  <c r="L53" i="2"/>
  <c r="H53" i="2"/>
  <c r="A53" i="2"/>
  <c r="L50" i="2"/>
  <c r="H50" i="2"/>
  <c r="A50" i="2"/>
  <c r="G49" i="2"/>
  <c r="E49" i="2"/>
  <c r="D49" i="2"/>
  <c r="L48" i="2"/>
  <c r="H48" i="2"/>
  <c r="A48" i="2"/>
  <c r="L47" i="2"/>
  <c r="H47" i="2"/>
  <c r="A47" i="2"/>
  <c r="H46" i="2"/>
  <c r="A46" i="2"/>
  <c r="L45" i="2"/>
  <c r="H45" i="2"/>
  <c r="A45" i="2"/>
  <c r="L44" i="2"/>
  <c r="H44" i="2"/>
  <c r="A44" i="2"/>
  <c r="K43" i="2"/>
  <c r="G43" i="2"/>
  <c r="F43" i="2"/>
  <c r="E43" i="2"/>
  <c r="D43" i="2"/>
  <c r="K42" i="2"/>
  <c r="L42" i="2" s="1"/>
  <c r="J42" i="2"/>
  <c r="M42" i="2" s="1"/>
  <c r="G42" i="2"/>
  <c r="F42" i="2"/>
  <c r="E42" i="2"/>
  <c r="D42" i="2"/>
  <c r="A42" i="2" s="1"/>
  <c r="K41" i="2"/>
  <c r="J41" i="2"/>
  <c r="M41" i="2" s="1"/>
  <c r="G41" i="2"/>
  <c r="F41" i="2"/>
  <c r="E41" i="2"/>
  <c r="D41" i="2"/>
  <c r="H41" i="2" s="1"/>
  <c r="K40" i="2"/>
  <c r="G40" i="2"/>
  <c r="E40" i="2"/>
  <c r="D40" i="2"/>
  <c r="G39" i="2"/>
  <c r="F39" i="2"/>
  <c r="E39" i="2"/>
  <c r="D39" i="2"/>
  <c r="K38" i="2"/>
  <c r="J38" i="2"/>
  <c r="M38" i="2" s="1"/>
  <c r="G38" i="2"/>
  <c r="F38" i="2"/>
  <c r="E38" i="2"/>
  <c r="D38" i="2"/>
  <c r="H38" i="2" s="1"/>
  <c r="H36" i="2"/>
  <c r="L35" i="2"/>
  <c r="H35" i="2"/>
  <c r="A35" i="2"/>
  <c r="A33" i="2"/>
  <c r="H33" i="2"/>
  <c r="L32" i="2"/>
  <c r="H32" i="2"/>
  <c r="A32" i="2"/>
  <c r="G31" i="2"/>
  <c r="E31" i="2"/>
  <c r="D31" i="2"/>
  <c r="L30" i="2"/>
  <c r="H30" i="2"/>
  <c r="A30" i="2"/>
  <c r="L29" i="2"/>
  <c r="H29" i="2"/>
  <c r="A29" i="2"/>
  <c r="L28" i="2"/>
  <c r="H28" i="2"/>
  <c r="L27" i="2"/>
  <c r="F21" i="2"/>
  <c r="L26" i="2"/>
  <c r="H26" i="2"/>
  <c r="A26" i="2"/>
  <c r="K25" i="2"/>
  <c r="G25" i="2"/>
  <c r="F25" i="2"/>
  <c r="E25" i="2"/>
  <c r="D25" i="2"/>
  <c r="H25" i="2" s="1"/>
  <c r="G24" i="2"/>
  <c r="E24" i="2"/>
  <c r="D24" i="2"/>
  <c r="H24" i="2" s="1"/>
  <c r="J23" i="2"/>
  <c r="M23" i="2" s="1"/>
  <c r="H23" i="2"/>
  <c r="G23" i="2"/>
  <c r="F23" i="2"/>
  <c r="E23" i="2"/>
  <c r="D23" i="2"/>
  <c r="G22" i="2"/>
  <c r="E22" i="2"/>
  <c r="D22" i="2"/>
  <c r="J21" i="2"/>
  <c r="G21" i="2"/>
  <c r="E21" i="2"/>
  <c r="D21" i="2"/>
  <c r="K20" i="2"/>
  <c r="J20" i="2"/>
  <c r="M20" i="2" s="1"/>
  <c r="G20" i="2"/>
  <c r="F20" i="2"/>
  <c r="L20" i="2" s="1"/>
  <c r="E20" i="2"/>
  <c r="D20" i="2"/>
  <c r="H20" i="2" s="1"/>
  <c r="M18" i="2"/>
  <c r="L18" i="2"/>
  <c r="H18" i="2"/>
  <c r="A18" i="2"/>
  <c r="M17" i="2"/>
  <c r="L17" i="2"/>
  <c r="H17" i="2"/>
  <c r="A17" i="2"/>
  <c r="H16" i="2"/>
  <c r="A15" i="2"/>
  <c r="H15" i="2"/>
  <c r="L14" i="2"/>
  <c r="H14" i="2"/>
  <c r="A14" i="2"/>
  <c r="G13" i="2"/>
  <c r="F13" i="2"/>
  <c r="E13" i="2"/>
  <c r="D13" i="2"/>
  <c r="M9" i="2"/>
  <c r="H9" i="2"/>
  <c r="L8" i="2"/>
  <c r="H8" i="2"/>
  <c r="M61" i="2" l="1"/>
  <c r="H121" i="2"/>
  <c r="M97" i="2"/>
  <c r="F6" i="2"/>
  <c r="A68" i="2"/>
  <c r="M71" i="2"/>
  <c r="G9" i="2"/>
  <c r="D11" i="2"/>
  <c r="H11" i="2" s="1"/>
  <c r="M55" i="2"/>
  <c r="E37" i="2"/>
  <c r="G10" i="2"/>
  <c r="M43" i="2"/>
  <c r="L25" i="2"/>
  <c r="M21" i="2"/>
  <c r="D19" i="2"/>
  <c r="L23" i="2"/>
  <c r="F31" i="2"/>
  <c r="H31" i="2" s="1"/>
  <c r="H34" i="2"/>
  <c r="J73" i="2"/>
  <c r="M76" i="2"/>
  <c r="J121" i="2"/>
  <c r="M121" i="2" s="1"/>
  <c r="M124" i="2"/>
  <c r="A28" i="2"/>
  <c r="M28" i="2"/>
  <c r="M8" i="2"/>
  <c r="A8" i="2"/>
  <c r="M75" i="2"/>
  <c r="M93" i="2"/>
  <c r="M68" i="2"/>
  <c r="K6" i="2"/>
  <c r="F57" i="1" s="1"/>
  <c r="H75" i="2"/>
  <c r="G11" i="2"/>
  <c r="H51" i="2"/>
  <c r="H85" i="2"/>
  <c r="J115" i="2"/>
  <c r="M46" i="2"/>
  <c r="M106" i="2"/>
  <c r="M118" i="2"/>
  <c r="M131" i="2"/>
  <c r="J69" i="2"/>
  <c r="M69" i="2" s="1"/>
  <c r="E10" i="2"/>
  <c r="G37" i="2"/>
  <c r="L71" i="2"/>
  <c r="G19" i="2"/>
  <c r="H42" i="2"/>
  <c r="M82" i="2"/>
  <c r="F11" i="2"/>
  <c r="H39" i="2"/>
  <c r="G67" i="2"/>
  <c r="D12" i="2"/>
  <c r="H12" i="2" s="1"/>
  <c r="E6" i="2"/>
  <c r="F69" i="2"/>
  <c r="H69" i="2" s="1"/>
  <c r="E12" i="2"/>
  <c r="L81" i="2"/>
  <c r="A27" i="2"/>
  <c r="J40" i="2"/>
  <c r="M40" i="2" s="1"/>
  <c r="J24" i="2"/>
  <c r="F22" i="2"/>
  <c r="F24" i="2"/>
  <c r="F12" i="2" s="1"/>
  <c r="K115" i="2"/>
  <c r="L97" i="2"/>
  <c r="K12" i="2"/>
  <c r="F67" i="1" s="1"/>
  <c r="H67" i="1" s="1"/>
  <c r="K11" i="2"/>
  <c r="K22" i="2"/>
  <c r="A97" i="2"/>
  <c r="J91" i="2"/>
  <c r="J70" i="2"/>
  <c r="A64" i="2"/>
  <c r="J25" i="2"/>
  <c r="H21" i="2"/>
  <c r="L21" i="2"/>
  <c r="A21" i="2"/>
  <c r="G12" i="2"/>
  <c r="L41" i="2"/>
  <c r="A41" i="2"/>
  <c r="H82" i="2"/>
  <c r="A82" i="2"/>
  <c r="A109" i="2"/>
  <c r="A124" i="2"/>
  <c r="L124" i="2"/>
  <c r="L38" i="2"/>
  <c r="A38" i="2"/>
  <c r="K79" i="2"/>
  <c r="H13" i="2"/>
  <c r="A20" i="2"/>
  <c r="E19" i="2"/>
  <c r="D37" i="2"/>
  <c r="A58" i="2"/>
  <c r="L58" i="2"/>
  <c r="F55" i="2"/>
  <c r="L55" i="2" s="1"/>
  <c r="H58" i="2"/>
  <c r="A71" i="2"/>
  <c r="F73" i="2"/>
  <c r="F70" i="2"/>
  <c r="L76" i="2"/>
  <c r="E11" i="2"/>
  <c r="A23" i="2"/>
  <c r="L43" i="2"/>
  <c r="A51" i="2"/>
  <c r="K49" i="2"/>
  <c r="K39" i="2"/>
  <c r="A39" i="2" s="1"/>
  <c r="L51" i="2"/>
  <c r="A72" i="2"/>
  <c r="H128" i="2"/>
  <c r="A43" i="2"/>
  <c r="H43" i="2"/>
  <c r="E67" i="2"/>
  <c r="L82" i="2"/>
  <c r="K85" i="2"/>
  <c r="M85" i="2" s="1"/>
  <c r="A88" i="2"/>
  <c r="L88" i="2"/>
  <c r="H103" i="2"/>
  <c r="A123" i="2"/>
  <c r="K121" i="2"/>
  <c r="L121" i="2" s="1"/>
  <c r="L123" i="2"/>
  <c r="A76" i="2"/>
  <c r="K103" i="2"/>
  <c r="M103" i="2" s="1"/>
  <c r="L75" i="2"/>
  <c r="F91" i="2"/>
  <c r="H94" i="2"/>
  <c r="L105" i="2"/>
  <c r="H118" i="2"/>
  <c r="L130" i="2"/>
  <c r="L131" i="2"/>
  <c r="G6" i="2"/>
  <c r="K73" i="2"/>
  <c r="F79" i="2"/>
  <c r="H79" i="2" s="1"/>
  <c r="L94" i="2"/>
  <c r="F115" i="2"/>
  <c r="L15" i="2"/>
  <c r="H64" i="2"/>
  <c r="L46" i="2"/>
  <c r="F61" i="2"/>
  <c r="D67" i="2"/>
  <c r="J6" i="2"/>
  <c r="D10" i="2"/>
  <c r="H27" i="2"/>
  <c r="A75" i="2"/>
  <c r="H81" i="2"/>
  <c r="L93" i="2"/>
  <c r="K128" i="2"/>
  <c r="M128" i="2" s="1"/>
  <c r="L33" i="2"/>
  <c r="D6" i="2"/>
  <c r="A85" i="2" l="1"/>
  <c r="G5" i="2"/>
  <c r="L22" i="2"/>
  <c r="L6" i="2"/>
  <c r="A69" i="2"/>
  <c r="M24" i="2"/>
  <c r="J13" i="2"/>
  <c r="M16" i="2"/>
  <c r="A128" i="2"/>
  <c r="J67" i="2"/>
  <c r="H66" i="1"/>
  <c r="M11" i="2"/>
  <c r="F67" i="2"/>
  <c r="H67" i="2" s="1"/>
  <c r="J12" i="2"/>
  <c r="M12" i="2" s="1"/>
  <c r="L128" i="2"/>
  <c r="H22" i="2"/>
  <c r="J49" i="2"/>
  <c r="M49" i="2" s="1"/>
  <c r="M52" i="2"/>
  <c r="J79" i="2"/>
  <c r="M79" i="2" s="1"/>
  <c r="M73" i="2"/>
  <c r="M6" i="2"/>
  <c r="M25" i="2"/>
  <c r="M115" i="2"/>
  <c r="H57" i="1"/>
  <c r="M39" i="2"/>
  <c r="L69" i="2"/>
  <c r="J37" i="2"/>
  <c r="A24" i="2"/>
  <c r="F19" i="2"/>
  <c r="L12" i="2"/>
  <c r="L24" i="2"/>
  <c r="A121" i="2"/>
  <c r="A106" i="2"/>
  <c r="L11" i="2"/>
  <c r="A11" i="2"/>
  <c r="A34" i="2"/>
  <c r="L34" i="2"/>
  <c r="K31" i="2"/>
  <c r="A25" i="2"/>
  <c r="L103" i="2"/>
  <c r="A103" i="2"/>
  <c r="A16" i="2"/>
  <c r="L16" i="2"/>
  <c r="H52" i="2"/>
  <c r="F49" i="2"/>
  <c r="A52" i="2"/>
  <c r="F40" i="2"/>
  <c r="F10" i="2" s="1"/>
  <c r="L52" i="2"/>
  <c r="L39" i="2"/>
  <c r="K37" i="2"/>
  <c r="H70" i="2"/>
  <c r="L7" i="2"/>
  <c r="H7" i="2"/>
  <c r="L61" i="2"/>
  <c r="A61" i="2"/>
  <c r="L73" i="2"/>
  <c r="A73" i="2"/>
  <c r="H73" i="2"/>
  <c r="H55" i="2"/>
  <c r="L115" i="2"/>
  <c r="A115" i="2"/>
  <c r="K70" i="2"/>
  <c r="K10" i="2" s="1"/>
  <c r="F61" i="1" s="1"/>
  <c r="F123" i="1" s="1"/>
  <c r="H91" i="2"/>
  <c r="A55" i="2"/>
  <c r="H6" i="2"/>
  <c r="A6" i="2"/>
  <c r="D5" i="2"/>
  <c r="K13" i="2"/>
  <c r="K19" i="2"/>
  <c r="H115" i="2"/>
  <c r="L85" i="2"/>
  <c r="E5" i="2"/>
  <c r="H61" i="2"/>
  <c r="H19" i="2"/>
  <c r="K91" i="2"/>
  <c r="M91" i="2" s="1"/>
  <c r="A94" i="2"/>
  <c r="L79" i="2"/>
  <c r="A79" i="2"/>
  <c r="L106" i="2"/>
  <c r="A12" i="2" l="1"/>
  <c r="M7" i="2"/>
  <c r="L91" i="2"/>
  <c r="M70" i="2"/>
  <c r="M13" i="2"/>
  <c r="J22" i="2"/>
  <c r="M34" i="2"/>
  <c r="J31" i="2"/>
  <c r="M31" i="2" s="1"/>
  <c r="A7" i="2"/>
  <c r="M37" i="2"/>
  <c r="A70" i="2"/>
  <c r="L70" i="2"/>
  <c r="A9" i="2"/>
  <c r="H60" i="1"/>
  <c r="L31" i="2"/>
  <c r="K5" i="2"/>
  <c r="H61" i="1"/>
  <c r="L40" i="2"/>
  <c r="A40" i="2"/>
  <c r="H40" i="2"/>
  <c r="F37" i="2"/>
  <c r="L19" i="2"/>
  <c r="L13" i="2"/>
  <c r="A13" i="2"/>
  <c r="L49" i="2"/>
  <c r="A49" i="2"/>
  <c r="H49" i="2"/>
  <c r="K67" i="2"/>
  <c r="M67" i="2" s="1"/>
  <c r="A91" i="2"/>
  <c r="M22" i="2" l="1"/>
  <c r="J10" i="2"/>
  <c r="A10" i="2" s="1"/>
  <c r="J19" i="2"/>
  <c r="A22" i="2"/>
  <c r="A31" i="2"/>
  <c r="L37" i="2"/>
  <c r="A37" i="2"/>
  <c r="H37" i="2"/>
  <c r="L67" i="2"/>
  <c r="A67" i="2"/>
  <c r="L10" i="2"/>
  <c r="F5" i="2"/>
  <c r="L5" i="2" s="1"/>
  <c r="H10" i="2"/>
  <c r="M19" i="2" l="1"/>
  <c r="A19" i="2"/>
  <c r="M10" i="2"/>
  <c r="J5" i="2"/>
  <c r="M5" i="2" s="1"/>
  <c r="H5" i="2"/>
  <c r="A5" i="2" l="1"/>
  <c r="C47" i="1"/>
  <c r="F40" i="1"/>
  <c r="F37" i="1" s="1"/>
  <c r="F36" i="1" s="1"/>
  <c r="E40" i="1"/>
  <c r="H29" i="1"/>
  <c r="H22" i="1"/>
  <c r="H40" i="1" l="1"/>
  <c r="H139" i="1"/>
  <c r="G139" i="1"/>
  <c r="D139" i="1"/>
  <c r="H138" i="1"/>
  <c r="G138" i="1"/>
  <c r="D138" i="1"/>
  <c r="J137" i="1"/>
  <c r="J129" i="1" s="1"/>
  <c r="I137" i="1"/>
  <c r="I129" i="1" s="1"/>
  <c r="F137" i="1"/>
  <c r="H137" i="1" s="1"/>
  <c r="E137" i="1"/>
  <c r="C137" i="1"/>
  <c r="B137" i="1"/>
  <c r="B129" i="1" s="1"/>
  <c r="J136" i="1"/>
  <c r="I136" i="1"/>
  <c r="H136" i="1"/>
  <c r="G136" i="1"/>
  <c r="E136" i="1"/>
  <c r="C136" i="1"/>
  <c r="B136" i="1"/>
  <c r="H135" i="1"/>
  <c r="G135" i="1"/>
  <c r="D135" i="1"/>
  <c r="H134" i="1"/>
  <c r="G134" i="1"/>
  <c r="H132" i="1"/>
  <c r="G132" i="1"/>
  <c r="D132" i="1"/>
  <c r="H131" i="1"/>
  <c r="G131" i="1"/>
  <c r="D131" i="1"/>
  <c r="H130" i="1"/>
  <c r="G130" i="1"/>
  <c r="D130" i="1"/>
  <c r="E129" i="1"/>
  <c r="C129" i="1"/>
  <c r="H128" i="1"/>
  <c r="G128" i="1"/>
  <c r="D128" i="1"/>
  <c r="H127" i="1"/>
  <c r="G127" i="1"/>
  <c r="D127" i="1"/>
  <c r="H126" i="1"/>
  <c r="G126" i="1"/>
  <c r="D126" i="1"/>
  <c r="H125" i="1"/>
  <c r="G125" i="1"/>
  <c r="D125" i="1"/>
  <c r="H124" i="1"/>
  <c r="G124" i="1"/>
  <c r="D124" i="1"/>
  <c r="D123" i="1"/>
  <c r="D122" i="1"/>
  <c r="J121" i="1"/>
  <c r="J120" i="1" s="1"/>
  <c r="I121" i="1"/>
  <c r="I120" i="1" s="1"/>
  <c r="C121" i="1"/>
  <c r="C120" i="1" s="1"/>
  <c r="B121" i="1"/>
  <c r="B120" i="1" s="1"/>
  <c r="H118" i="1"/>
  <c r="G118" i="1"/>
  <c r="H116" i="1"/>
  <c r="G116" i="1"/>
  <c r="D116" i="1"/>
  <c r="H115" i="1"/>
  <c r="G115" i="1"/>
  <c r="D115" i="1"/>
  <c r="H114" i="1"/>
  <c r="G114" i="1"/>
  <c r="D114" i="1"/>
  <c r="H113" i="1"/>
  <c r="G113" i="1"/>
  <c r="D113" i="1"/>
  <c r="J112" i="1"/>
  <c r="I112" i="1"/>
  <c r="F112" i="1"/>
  <c r="G112" i="1" s="1"/>
  <c r="E112" i="1"/>
  <c r="C112" i="1"/>
  <c r="B112" i="1"/>
  <c r="H108" i="1"/>
  <c r="G108" i="1"/>
  <c r="H107" i="1"/>
  <c r="G107" i="1"/>
  <c r="H106" i="1"/>
  <c r="G106" i="1"/>
  <c r="J105" i="1"/>
  <c r="I105" i="1"/>
  <c r="F105" i="1"/>
  <c r="H105" i="1" s="1"/>
  <c r="E105" i="1"/>
  <c r="C105" i="1"/>
  <c r="B105" i="1"/>
  <c r="H104" i="1"/>
  <c r="G104" i="1"/>
  <c r="H103" i="1"/>
  <c r="G103" i="1"/>
  <c r="J102" i="1"/>
  <c r="I102" i="1"/>
  <c r="F102" i="1"/>
  <c r="G102" i="1" s="1"/>
  <c r="E102" i="1"/>
  <c r="C102" i="1"/>
  <c r="B102" i="1"/>
  <c r="H101" i="1"/>
  <c r="G101" i="1"/>
  <c r="H100" i="1"/>
  <c r="G100" i="1"/>
  <c r="H99" i="1"/>
  <c r="G99" i="1"/>
  <c r="J98" i="1"/>
  <c r="I98" i="1"/>
  <c r="F98" i="1"/>
  <c r="E98" i="1"/>
  <c r="C98" i="1"/>
  <c r="B98" i="1"/>
  <c r="H97" i="1"/>
  <c r="G97" i="1"/>
  <c r="H96" i="1"/>
  <c r="G96" i="1"/>
  <c r="J95" i="1"/>
  <c r="I95" i="1"/>
  <c r="F95" i="1"/>
  <c r="E95" i="1"/>
  <c r="C95" i="1"/>
  <c r="B95" i="1"/>
  <c r="H88" i="1"/>
  <c r="G88" i="1"/>
  <c r="D88" i="1"/>
  <c r="H86" i="1"/>
  <c r="G86" i="1"/>
  <c r="D86" i="1"/>
  <c r="H85" i="1"/>
  <c r="G85" i="1"/>
  <c r="H84" i="1"/>
  <c r="G84" i="1"/>
  <c r="H83" i="1"/>
  <c r="G83" i="1"/>
  <c r="D83" i="1"/>
  <c r="H82" i="1"/>
  <c r="G82" i="1"/>
  <c r="D82" i="1"/>
  <c r="J81" i="1"/>
  <c r="I81" i="1"/>
  <c r="C81" i="1"/>
  <c r="B81" i="1"/>
  <c r="H80" i="1"/>
  <c r="E81" i="1"/>
  <c r="D80" i="1"/>
  <c r="H79" i="1"/>
  <c r="G79" i="1"/>
  <c r="D79" i="1"/>
  <c r="H78" i="1"/>
  <c r="G78" i="1"/>
  <c r="D78" i="1"/>
  <c r="H77" i="1"/>
  <c r="G77" i="1"/>
  <c r="D77" i="1"/>
  <c r="H76" i="1"/>
  <c r="G76" i="1"/>
  <c r="D76" i="1"/>
  <c r="H75" i="1"/>
  <c r="G75" i="1"/>
  <c r="D75" i="1"/>
  <c r="F68" i="1"/>
  <c r="D74" i="1"/>
  <c r="H73" i="1"/>
  <c r="G73" i="1"/>
  <c r="D73" i="1"/>
  <c r="J72" i="1"/>
  <c r="I72" i="1"/>
  <c r="E72" i="1"/>
  <c r="H71" i="1"/>
  <c r="C68" i="1"/>
  <c r="B68" i="1"/>
  <c r="H70" i="1"/>
  <c r="G70" i="1"/>
  <c r="D70" i="1"/>
  <c r="H69" i="1"/>
  <c r="G69" i="1"/>
  <c r="D69" i="1"/>
  <c r="J68" i="1"/>
  <c r="I68" i="1"/>
  <c r="E68" i="1"/>
  <c r="G67" i="1"/>
  <c r="D67" i="1"/>
  <c r="C56" i="1"/>
  <c r="G65" i="1"/>
  <c r="D65" i="1"/>
  <c r="G64" i="1"/>
  <c r="D64" i="1"/>
  <c r="G63" i="1"/>
  <c r="D63" i="1"/>
  <c r="G62" i="1"/>
  <c r="D62" i="1"/>
  <c r="D61" i="1"/>
  <c r="D60" i="1"/>
  <c r="G59" i="1"/>
  <c r="G58" i="1"/>
  <c r="D58" i="1"/>
  <c r="G57" i="1"/>
  <c r="D57" i="1"/>
  <c r="B56" i="1"/>
  <c r="J56" i="1"/>
  <c r="J87" i="1" s="1"/>
  <c r="I56" i="1"/>
  <c r="I87" i="1" s="1"/>
  <c r="H55" i="1"/>
  <c r="G55" i="1"/>
  <c r="D55" i="1"/>
  <c r="H54" i="1"/>
  <c r="G54" i="1"/>
  <c r="D54" i="1"/>
  <c r="G53" i="1"/>
  <c r="G52" i="1"/>
  <c r="D52" i="1"/>
  <c r="G51" i="1"/>
  <c r="D51" i="1"/>
  <c r="G50" i="1"/>
  <c r="D50" i="1"/>
  <c r="G49" i="1"/>
  <c r="D49" i="1"/>
  <c r="G48" i="1"/>
  <c r="D48" i="1"/>
  <c r="J47" i="1"/>
  <c r="I47" i="1"/>
  <c r="I37" i="1" s="1"/>
  <c r="I36" i="1" s="1"/>
  <c r="F47" i="1"/>
  <c r="E47" i="1"/>
  <c r="E37" i="1" s="1"/>
  <c r="E36" i="1" s="1"/>
  <c r="B47" i="1"/>
  <c r="D47" i="1" s="1"/>
  <c r="G45" i="1"/>
  <c r="D45" i="1"/>
  <c r="G44" i="1"/>
  <c r="D44" i="1"/>
  <c r="G42" i="1"/>
  <c r="D42" i="1"/>
  <c r="G41" i="1"/>
  <c r="D41" i="1"/>
  <c r="G40" i="1"/>
  <c r="D40" i="1"/>
  <c r="G39" i="1"/>
  <c r="D39" i="1"/>
  <c r="G38" i="1"/>
  <c r="D38" i="1"/>
  <c r="J37" i="1"/>
  <c r="J36" i="1" s="1"/>
  <c r="J5" i="1" s="1"/>
  <c r="C37" i="1"/>
  <c r="C36" i="1" s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J25" i="1"/>
  <c r="I25" i="1"/>
  <c r="F25" i="1"/>
  <c r="E25" i="1"/>
  <c r="C25" i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J13" i="1"/>
  <c r="I13" i="1"/>
  <c r="F13" i="1"/>
  <c r="H12" i="1" s="1"/>
  <c r="E13" i="1"/>
  <c r="C13" i="1"/>
  <c r="D12" i="1" s="1"/>
  <c r="B13" i="1"/>
  <c r="J11" i="1"/>
  <c r="I11" i="1"/>
  <c r="F11" i="1"/>
  <c r="E11" i="1"/>
  <c r="C11" i="1"/>
  <c r="B11" i="1"/>
  <c r="G10" i="1"/>
  <c r="D10" i="1"/>
  <c r="J8" i="1"/>
  <c r="J9" i="1" s="1"/>
  <c r="I8" i="1"/>
  <c r="I9" i="1" s="1"/>
  <c r="F8" i="1"/>
  <c r="E8" i="1"/>
  <c r="C8" i="1"/>
  <c r="C9" i="1" s="1"/>
  <c r="B8" i="1"/>
  <c r="J6" i="1"/>
  <c r="J117" i="1" s="1"/>
  <c r="C93" i="1" l="1"/>
  <c r="G98" i="1"/>
  <c r="G95" i="1"/>
  <c r="B37" i="1"/>
  <c r="B36" i="1" s="1"/>
  <c r="D36" i="1" s="1"/>
  <c r="H47" i="1"/>
  <c r="D25" i="1"/>
  <c r="J7" i="1"/>
  <c r="B9" i="1"/>
  <c r="D9" i="1" s="1"/>
  <c r="D81" i="1"/>
  <c r="C6" i="1"/>
  <c r="C117" i="1" s="1"/>
  <c r="H25" i="1"/>
  <c r="D11" i="1"/>
  <c r="I6" i="1"/>
  <c r="I119" i="1"/>
  <c r="F129" i="1"/>
  <c r="H129" i="1" s="1"/>
  <c r="D136" i="1"/>
  <c r="G8" i="1"/>
  <c r="H8" i="1"/>
  <c r="I111" i="1"/>
  <c r="J119" i="1"/>
  <c r="D120" i="1"/>
  <c r="F122" i="1"/>
  <c r="H95" i="1"/>
  <c r="E122" i="1"/>
  <c r="D137" i="1"/>
  <c r="D129" i="1"/>
  <c r="H98" i="1"/>
  <c r="E56" i="1"/>
  <c r="G71" i="1"/>
  <c r="D59" i="1"/>
  <c r="G25" i="1"/>
  <c r="E6" i="1"/>
  <c r="J110" i="1"/>
  <c r="J89" i="1"/>
  <c r="D68" i="1"/>
  <c r="H68" i="1"/>
  <c r="G68" i="1"/>
  <c r="C87" i="1"/>
  <c r="C134" i="1"/>
  <c r="D56" i="1"/>
  <c r="C111" i="1"/>
  <c r="B87" i="1"/>
  <c r="B134" i="1"/>
  <c r="B111" i="1"/>
  <c r="I7" i="1"/>
  <c r="I5" i="1"/>
  <c r="I117" i="1"/>
  <c r="I134" i="1"/>
  <c r="G137" i="1"/>
  <c r="G47" i="1"/>
  <c r="D66" i="1"/>
  <c r="B72" i="1"/>
  <c r="J111" i="1"/>
  <c r="C72" i="1"/>
  <c r="G74" i="1"/>
  <c r="G105" i="1"/>
  <c r="H112" i="1"/>
  <c r="F9" i="1"/>
  <c r="G60" i="1"/>
  <c r="G66" i="1"/>
  <c r="D71" i="1"/>
  <c r="H74" i="1"/>
  <c r="F93" i="1"/>
  <c r="H102" i="1"/>
  <c r="D121" i="1"/>
  <c r="J134" i="1"/>
  <c r="B6" i="1"/>
  <c r="E9" i="1"/>
  <c r="F56" i="1"/>
  <c r="D8" i="1"/>
  <c r="G11" i="1"/>
  <c r="G61" i="1"/>
  <c r="F72" i="1"/>
  <c r="G80" i="1"/>
  <c r="F81" i="1"/>
  <c r="D112" i="1"/>
  <c r="F6" i="1"/>
  <c r="G111" i="1" l="1"/>
  <c r="H56" i="1"/>
  <c r="F111" i="1"/>
  <c r="E87" i="1"/>
  <c r="E111" i="1"/>
  <c r="E109" i="1" s="1"/>
  <c r="H122" i="1"/>
  <c r="H37" i="1"/>
  <c r="D37" i="1"/>
  <c r="C119" i="1"/>
  <c r="C5" i="1"/>
  <c r="H9" i="1"/>
  <c r="C7" i="1"/>
  <c r="H6" i="1"/>
  <c r="G6" i="1"/>
  <c r="G129" i="1"/>
  <c r="E7" i="1"/>
  <c r="E121" i="1"/>
  <c r="E120" i="1" s="1"/>
  <c r="G122" i="1"/>
  <c r="E5" i="1"/>
  <c r="E119" i="1"/>
  <c r="E117" i="1"/>
  <c r="G56" i="1"/>
  <c r="F87" i="1"/>
  <c r="D134" i="1"/>
  <c r="F117" i="1"/>
  <c r="F7" i="1"/>
  <c r="B117" i="1"/>
  <c r="D117" i="1" s="1"/>
  <c r="B7" i="1"/>
  <c r="D6" i="1"/>
  <c r="J92" i="1"/>
  <c r="J90" i="1"/>
  <c r="G81" i="1"/>
  <c r="H81" i="1"/>
  <c r="G9" i="1"/>
  <c r="H36" i="1"/>
  <c r="G37" i="1"/>
  <c r="F119" i="1"/>
  <c r="H93" i="1"/>
  <c r="G93" i="1"/>
  <c r="B119" i="1"/>
  <c r="J109" i="1"/>
  <c r="I110" i="1"/>
  <c r="I109" i="1" s="1"/>
  <c r="I89" i="1"/>
  <c r="H111" i="1" l="1"/>
  <c r="E94" i="1"/>
  <c r="C89" i="1"/>
  <c r="C90" i="1" s="1"/>
  <c r="D5" i="1"/>
  <c r="D7" i="1"/>
  <c r="H7" i="1"/>
  <c r="E89" i="1"/>
  <c r="E92" i="1" s="1"/>
  <c r="G36" i="1"/>
  <c r="F5" i="1"/>
  <c r="F110" i="1" s="1"/>
  <c r="H110" i="1" s="1"/>
  <c r="I90" i="1"/>
  <c r="I92" i="1"/>
  <c r="B89" i="1"/>
  <c r="B109" i="1"/>
  <c r="I94" i="1"/>
  <c r="I91" i="1"/>
  <c r="H117" i="1"/>
  <c r="G117" i="1"/>
  <c r="G7" i="1"/>
  <c r="C109" i="1"/>
  <c r="H87" i="1"/>
  <c r="G87" i="1"/>
  <c r="J94" i="1"/>
  <c r="J91" i="1"/>
  <c r="H123" i="1"/>
  <c r="G123" i="1"/>
  <c r="F121" i="1"/>
  <c r="F109" i="1" l="1"/>
  <c r="H109" i="1" s="1"/>
  <c r="G110" i="1"/>
  <c r="F91" i="1"/>
  <c r="H91" i="1" s="1"/>
  <c r="C92" i="1"/>
  <c r="H5" i="1"/>
  <c r="G5" i="1"/>
  <c r="E90" i="1"/>
  <c r="F89" i="1"/>
  <c r="H121" i="1"/>
  <c r="G121" i="1"/>
  <c r="F120" i="1"/>
  <c r="B90" i="1"/>
  <c r="B92" i="1"/>
  <c r="C94" i="1"/>
  <c r="C91" i="1"/>
  <c r="B94" i="1"/>
  <c r="B91" i="1"/>
  <c r="G109" i="1" l="1"/>
  <c r="F94" i="1"/>
  <c r="H94" i="1" s="1"/>
  <c r="G91" i="1"/>
  <c r="H120" i="1"/>
  <c r="G120" i="1"/>
  <c r="F92" i="1"/>
  <c r="F90" i="1"/>
  <c r="G89" i="1"/>
  <c r="H89" i="1"/>
  <c r="G94" i="1" l="1"/>
  <c r="H90" i="1"/>
  <c r="G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6" authorId="0" shapeId="0" xr:uid="{975A5B47-719A-46C9-8DF6-22E67E64AB33}">
      <text>
        <r>
          <rPr>
            <sz val="9"/>
            <color rgb="FF000000"/>
            <rFont val="Tahoma"/>
            <family val="2"/>
            <charset val="204"/>
          </rPr>
          <t>I26 = I27 + I28</t>
        </r>
      </text>
    </comment>
    <comment ref="J26" authorId="0" shapeId="0" xr:uid="{65B0A1A8-068C-4A5B-AF4C-913154455DE9}">
      <text>
        <r>
          <rPr>
            <sz val="9"/>
            <color rgb="FF000000"/>
            <rFont val="Tahoma"/>
            <family val="2"/>
            <charset val="204"/>
          </rPr>
          <t>J26 = J27 + J28</t>
        </r>
      </text>
    </comment>
    <comment ref="B27" authorId="0" shapeId="0" xr:uid="{BE87CC16-D7EE-4417-81A4-43CA4BAEAE09}">
      <text>
        <r>
          <rPr>
            <sz val="9"/>
            <color rgb="FF000000"/>
            <rFont val="Tahoma"/>
            <family val="2"/>
            <charset val="204"/>
          </rPr>
          <t>B26 = B27 + B28</t>
        </r>
      </text>
    </comment>
    <comment ref="C27" authorId="0" shapeId="0" xr:uid="{D4EB3467-0CB7-4B29-B1BB-304A1F862C4C}">
      <text>
        <r>
          <rPr>
            <sz val="9"/>
            <color rgb="FF000000"/>
            <rFont val="Tahoma"/>
            <family val="2"/>
            <charset val="204"/>
          </rPr>
          <t>C26 = C27 + C28</t>
        </r>
      </text>
    </comment>
    <comment ref="E27" authorId="0" shapeId="0" xr:uid="{0E3C341B-2ACB-415A-95AB-8A991D941729}">
      <text>
        <r>
          <rPr>
            <sz val="9"/>
            <color rgb="FF000000"/>
            <rFont val="Tahoma"/>
            <family val="2"/>
            <charset val="204"/>
          </rPr>
          <t>E26 = E27 + E28</t>
        </r>
      </text>
    </comment>
    <comment ref="F27" authorId="0" shapeId="0" xr:uid="{75C910E8-B9B8-48CC-9F7C-FA2B5A4A3AE4}">
      <text>
        <r>
          <rPr>
            <sz val="9"/>
            <color rgb="FF000000"/>
            <rFont val="Tahoma"/>
            <family val="2"/>
            <charset val="204"/>
          </rPr>
          <t>F26 = F27 + F28</t>
        </r>
      </text>
    </comment>
    <comment ref="I27" authorId="0" shapeId="0" xr:uid="{303A0CBA-256B-4E93-8AA1-38D780E1739B}">
      <text>
        <r>
          <rPr>
            <sz val="9"/>
            <color rgb="FF000000"/>
            <rFont val="Tahoma"/>
            <family val="2"/>
            <charset val="204"/>
          </rPr>
          <t>I26 = I27 + I28</t>
        </r>
      </text>
    </comment>
    <comment ref="J27" authorId="0" shapeId="0" xr:uid="{49AA77B0-197D-45D0-8DAA-F88425656FFF}">
      <text>
        <r>
          <rPr>
            <sz val="9"/>
            <color rgb="FF000000"/>
            <rFont val="Tahoma"/>
            <family val="2"/>
            <charset val="204"/>
          </rPr>
          <t>J26 = J27 + J28</t>
        </r>
      </text>
    </comment>
    <comment ref="B28" authorId="0" shapeId="0" xr:uid="{97C93000-137D-4E70-B74D-2A7204B7EF9B}">
      <text>
        <r>
          <rPr>
            <sz val="9"/>
            <color rgb="FF000000"/>
            <rFont val="Tahoma"/>
            <family val="2"/>
            <charset val="204"/>
          </rPr>
          <t>B26 = B27 + B28</t>
        </r>
      </text>
    </comment>
    <comment ref="C28" authorId="0" shapeId="0" xr:uid="{40185790-54DB-4A48-903B-0C43613CE821}">
      <text>
        <r>
          <rPr>
            <sz val="9"/>
            <color rgb="FF000000"/>
            <rFont val="Tahoma"/>
            <family val="2"/>
            <charset val="204"/>
          </rPr>
          <t>C26 = C27 + C28</t>
        </r>
      </text>
    </comment>
    <comment ref="E28" authorId="0" shapeId="0" xr:uid="{1CA9A830-53C0-4D2F-BEE6-5D89C3D3F482}">
      <text>
        <r>
          <rPr>
            <sz val="9"/>
            <color rgb="FF000000"/>
            <rFont val="Tahoma"/>
            <family val="2"/>
            <charset val="204"/>
          </rPr>
          <t>E26 = E27 + E28</t>
        </r>
      </text>
    </comment>
    <comment ref="F28" authorId="0" shapeId="0" xr:uid="{705C49A1-8085-4221-97BC-019FCB5BD012}">
      <text>
        <r>
          <rPr>
            <sz val="9"/>
            <color rgb="FF000000"/>
            <rFont val="Tahoma"/>
            <family val="2"/>
            <charset val="204"/>
          </rPr>
          <t>F26 = F27 + F28</t>
        </r>
      </text>
    </comment>
    <comment ref="I28" authorId="0" shapeId="0" xr:uid="{0C7BB187-7421-4A2B-AA5C-75D388AE9B1F}">
      <text>
        <r>
          <rPr>
            <sz val="9"/>
            <color rgb="FF000000"/>
            <rFont val="Tahoma"/>
            <family val="2"/>
            <charset val="204"/>
          </rPr>
          <t>I26 = I27 + I28</t>
        </r>
      </text>
    </comment>
    <comment ref="J28" authorId="0" shapeId="0" xr:uid="{AEFC32DC-975A-441A-AF2E-BDE09342C485}">
      <text>
        <r>
          <rPr>
            <sz val="9"/>
            <color rgb="FF000000"/>
            <rFont val="Tahoma"/>
            <family val="2"/>
            <charset val="204"/>
          </rPr>
          <t>J26 = J27 + J28</t>
        </r>
      </text>
    </comment>
    <comment ref="I40" authorId="0" shapeId="0" xr:uid="{0CC6EDC7-92E4-4104-B74A-E8FA66E2F5B9}">
      <text>
        <r>
          <rPr>
            <sz val="9"/>
            <color rgb="FF000000"/>
            <rFont val="Tahoma"/>
            <family val="2"/>
            <charset val="204"/>
          </rPr>
          <t>I40 = I41 + I44</t>
        </r>
      </text>
    </comment>
    <comment ref="J40" authorId="0" shapeId="0" xr:uid="{82FB9AD1-5073-4BA4-9117-875639EED054}">
      <text>
        <r>
          <rPr>
            <sz val="9"/>
            <color rgb="FF000000"/>
            <rFont val="Tahoma"/>
            <family val="2"/>
            <charset val="204"/>
          </rPr>
          <t>J40 = J41 + J44</t>
        </r>
      </text>
    </comment>
    <comment ref="B41" authorId="0" shapeId="0" xr:uid="{526500F1-4467-4DAD-A002-76B3418B3206}">
      <text>
        <r>
          <rPr>
            <sz val="9"/>
            <color rgb="FF000000"/>
            <rFont val="Tahoma"/>
            <family val="2"/>
            <charset val="204"/>
          </rPr>
          <t>B40 = B41 + B44
и
B41 = B42 + B43</t>
        </r>
      </text>
    </comment>
    <comment ref="C41" authorId="0" shapeId="0" xr:uid="{673BE601-A9FE-4C7E-87CB-F27EBE062FA0}">
      <text>
        <r>
          <rPr>
            <sz val="9"/>
            <color rgb="FF000000"/>
            <rFont val="Tahoma"/>
            <family val="2"/>
            <charset val="204"/>
          </rPr>
          <t>C40 = C41 + C44
и
С41 = С42 + С43</t>
        </r>
      </text>
    </comment>
    <comment ref="E41" authorId="0" shapeId="0" xr:uid="{DE2F6D53-6058-4391-810D-D637A51A64FC}">
      <text>
        <r>
          <rPr>
            <sz val="9"/>
            <color rgb="FF000000"/>
            <rFont val="Tahoma"/>
            <family val="2"/>
            <charset val="204"/>
          </rPr>
          <t>E40 = E41 + E44
и
E41 = E42 + E43</t>
        </r>
      </text>
    </comment>
    <comment ref="F41" authorId="0" shapeId="0" xr:uid="{F35A1667-4B59-427B-A440-28820ED3C608}">
      <text>
        <r>
          <rPr>
            <sz val="9"/>
            <color rgb="FF000000"/>
            <rFont val="Tahoma"/>
            <family val="2"/>
            <charset val="204"/>
          </rPr>
          <t>F40 = F41 + F44
и
F41 = F42 + F43</t>
        </r>
      </text>
    </comment>
    <comment ref="I41" authorId="0" shapeId="0" xr:uid="{8E4982AA-CED4-44C1-A690-F0F335ED5778}">
      <text>
        <r>
          <rPr>
            <sz val="9"/>
            <color rgb="FF000000"/>
            <rFont val="Tahoma"/>
            <family val="2"/>
            <charset val="204"/>
          </rPr>
          <t>I40 = I41 + I44
и
I41 = I42 + I43</t>
        </r>
      </text>
    </comment>
    <comment ref="J41" authorId="0" shapeId="0" xr:uid="{630EE6C2-1AFC-41D5-96AF-710AC98F21B6}">
      <text>
        <r>
          <rPr>
            <sz val="9"/>
            <color rgb="FF000000"/>
            <rFont val="Tahoma"/>
            <family val="2"/>
            <charset val="204"/>
          </rPr>
          <t>J40 = J41 + J44
и
J41 = J42 + J43</t>
        </r>
      </text>
    </comment>
    <comment ref="B42" authorId="0" shapeId="0" xr:uid="{8E75266A-4876-46DB-8365-3750D9BDE07F}">
      <text>
        <r>
          <rPr>
            <sz val="9"/>
            <color rgb="FF000000"/>
            <rFont val="Tahoma"/>
            <family val="2"/>
            <charset val="204"/>
          </rPr>
          <t>B41 = B42 + B43</t>
        </r>
      </text>
    </comment>
    <comment ref="C42" authorId="0" shapeId="0" xr:uid="{DA2904CB-BB52-478A-9C7F-2942EB4B4981}">
      <text>
        <r>
          <rPr>
            <sz val="9"/>
            <color rgb="FF000000"/>
            <rFont val="Tahoma"/>
            <family val="2"/>
            <charset val="204"/>
          </rPr>
          <t>C41 = C42 + C43</t>
        </r>
      </text>
    </comment>
    <comment ref="E42" authorId="0" shapeId="0" xr:uid="{8B41DC6E-A6BF-432E-B202-89852B47941E}">
      <text>
        <r>
          <rPr>
            <sz val="9"/>
            <color rgb="FF000000"/>
            <rFont val="Tahoma"/>
            <family val="2"/>
            <charset val="204"/>
          </rPr>
          <t>E41 = E42 + E43</t>
        </r>
      </text>
    </comment>
    <comment ref="F42" authorId="0" shapeId="0" xr:uid="{00E5D5F0-972E-4862-8D34-067C879FBC0E}">
      <text>
        <r>
          <rPr>
            <sz val="9"/>
            <color rgb="FF000000"/>
            <rFont val="Tahoma"/>
            <family val="2"/>
            <charset val="204"/>
          </rPr>
          <t>F41 = F42 + F43</t>
        </r>
      </text>
    </comment>
    <comment ref="I42" authorId="0" shapeId="0" xr:uid="{1865D470-F56E-4807-86CB-BC146DC5113E}">
      <text>
        <r>
          <rPr>
            <sz val="9"/>
            <color rgb="FF000000"/>
            <rFont val="Tahoma"/>
            <family val="2"/>
            <charset val="204"/>
          </rPr>
          <t>I41 = I42 + I43</t>
        </r>
      </text>
    </comment>
    <comment ref="J42" authorId="0" shapeId="0" xr:uid="{81E0EA8A-C4FA-48C8-84EF-4F8187E06258}">
      <text>
        <r>
          <rPr>
            <sz val="9"/>
            <color rgb="FF000000"/>
            <rFont val="Tahoma"/>
            <family val="2"/>
            <charset val="204"/>
          </rPr>
          <t>J41 = J42 + J43</t>
        </r>
      </text>
    </comment>
    <comment ref="B43" authorId="0" shapeId="0" xr:uid="{9FCB5933-53C9-4414-935F-2550A8D46680}">
      <text>
        <r>
          <rPr>
            <sz val="9"/>
            <color rgb="FF000000"/>
            <rFont val="Tahoma"/>
            <family val="2"/>
            <charset val="204"/>
          </rPr>
          <t>B41 = B42 + B43</t>
        </r>
      </text>
    </comment>
    <comment ref="C43" authorId="0" shapeId="0" xr:uid="{ACA0F51A-C3E6-43E5-9375-CA57E16B9F4F}">
      <text>
        <r>
          <rPr>
            <sz val="9"/>
            <color rgb="FF000000"/>
            <rFont val="Tahoma"/>
            <family val="2"/>
            <charset val="204"/>
          </rPr>
          <t>C41 = C42 + C43</t>
        </r>
      </text>
    </comment>
    <comment ref="E43" authorId="0" shapeId="0" xr:uid="{B0C9B28C-B2F4-4495-9CED-73970502A794}">
      <text>
        <r>
          <rPr>
            <sz val="9"/>
            <color rgb="FF000000"/>
            <rFont val="Tahoma"/>
            <family val="2"/>
            <charset val="204"/>
          </rPr>
          <t>E41 = E42 + E43</t>
        </r>
      </text>
    </comment>
    <comment ref="F43" authorId="0" shapeId="0" xr:uid="{19A1BA9D-7C0A-4982-98C4-78F85E52A08F}">
      <text>
        <r>
          <rPr>
            <sz val="9"/>
            <color rgb="FF000000"/>
            <rFont val="Tahoma"/>
            <family val="2"/>
            <charset val="204"/>
          </rPr>
          <t>F41 = F42 + F43</t>
        </r>
      </text>
    </comment>
    <comment ref="I43" authorId="0" shapeId="0" xr:uid="{55F8A9D9-5E1C-4BD6-A75A-4B7C5D8FCF2B}">
      <text>
        <r>
          <rPr>
            <sz val="9"/>
            <color rgb="FF000000"/>
            <rFont val="Tahoma"/>
            <family val="2"/>
            <charset val="204"/>
          </rPr>
          <t>I41 = I42 + I43</t>
        </r>
      </text>
    </comment>
    <comment ref="J43" authorId="0" shapeId="0" xr:uid="{0DCE83D0-10BB-456D-8A4A-DC2570BBA4DE}">
      <text>
        <r>
          <rPr>
            <sz val="9"/>
            <color rgb="FF000000"/>
            <rFont val="Tahoma"/>
            <family val="2"/>
            <charset val="204"/>
          </rPr>
          <t>J41 = J42 + J43</t>
        </r>
      </text>
    </comment>
    <comment ref="B44" authorId="0" shapeId="0" xr:uid="{7A434BF0-942E-4628-80A6-C31747C2B099}">
      <text>
        <r>
          <rPr>
            <sz val="9"/>
            <color rgb="FF000000"/>
            <rFont val="Tahoma"/>
            <family val="2"/>
            <charset val="204"/>
          </rPr>
          <t>B40 = B41 + B44
и
B44 = B45 + B46</t>
        </r>
      </text>
    </comment>
    <comment ref="C44" authorId="0" shapeId="0" xr:uid="{C49C0F5D-E5A4-4B69-9081-3CD3F73CB024}">
      <text>
        <r>
          <rPr>
            <sz val="9"/>
            <color rgb="FF000000"/>
            <rFont val="Tahoma"/>
            <family val="2"/>
            <charset val="204"/>
          </rPr>
          <t>C40 = C41 + C44
и
C44 = C45 + C46</t>
        </r>
      </text>
    </comment>
    <comment ref="E44" authorId="0" shapeId="0" xr:uid="{8F25FFED-BE63-414E-BE1A-ACD639BA15FD}">
      <text>
        <r>
          <rPr>
            <sz val="9"/>
            <color rgb="FF000000"/>
            <rFont val="Tahoma"/>
            <family val="2"/>
            <charset val="204"/>
          </rPr>
          <t>E40 = E41 + E44
и
E44 = E45 + E46</t>
        </r>
      </text>
    </comment>
    <comment ref="F44" authorId="0" shapeId="0" xr:uid="{26369680-42DB-4E53-B304-8F4FDCCF812B}">
      <text>
        <r>
          <rPr>
            <sz val="9"/>
            <color rgb="FF000000"/>
            <rFont val="Tahoma"/>
            <family val="2"/>
            <charset val="204"/>
          </rPr>
          <t>F40 = F41 + F44
и
F44 = F45 + F46</t>
        </r>
      </text>
    </comment>
    <comment ref="I44" authorId="0" shapeId="0" xr:uid="{B6BDB5CD-0CE5-4BA7-BA25-FB2FA6BC06C0}">
      <text>
        <r>
          <rPr>
            <sz val="9"/>
            <color rgb="FF000000"/>
            <rFont val="Tahoma"/>
            <family val="2"/>
            <charset val="204"/>
          </rPr>
          <t>I40 = I41 + I44
и
I44 = I45 + I46</t>
        </r>
      </text>
    </comment>
    <comment ref="J44" authorId="0" shapeId="0" xr:uid="{17FE4E6A-E1DE-465B-94B2-D09C25E74F20}">
      <text>
        <r>
          <rPr>
            <sz val="9"/>
            <color rgb="FF000000"/>
            <rFont val="Tahoma"/>
            <family val="2"/>
            <charset val="204"/>
          </rPr>
          <t>J40 = J41 + J44
и
J44 = J45 + J46</t>
        </r>
      </text>
    </comment>
    <comment ref="B45" authorId="0" shapeId="0" xr:uid="{097C5387-70C5-451A-88FD-A82BBC53D071}">
      <text>
        <r>
          <rPr>
            <sz val="9"/>
            <color rgb="FF000000"/>
            <rFont val="Tahoma"/>
            <family val="2"/>
            <charset val="204"/>
          </rPr>
          <t>B44 = B45 + B46</t>
        </r>
      </text>
    </comment>
    <comment ref="C45" authorId="0" shapeId="0" xr:uid="{16FEA23F-FF11-4719-A74B-C34A7CE532AD}">
      <text>
        <r>
          <rPr>
            <sz val="9"/>
            <color rgb="FF000000"/>
            <rFont val="Tahoma"/>
            <family val="2"/>
            <charset val="204"/>
          </rPr>
          <t>C44 = C45 + C46</t>
        </r>
      </text>
    </comment>
    <comment ref="E45" authorId="0" shapeId="0" xr:uid="{0743C795-2A78-4872-936D-E48DBAB1FC99}">
      <text>
        <r>
          <rPr>
            <sz val="9"/>
            <color rgb="FF000000"/>
            <rFont val="Tahoma"/>
            <family val="2"/>
            <charset val="204"/>
          </rPr>
          <t>E44 = E45 + E46</t>
        </r>
      </text>
    </comment>
    <comment ref="F45" authorId="0" shapeId="0" xr:uid="{E7417468-87AE-41B2-AF80-5E833CE851BD}">
      <text>
        <r>
          <rPr>
            <sz val="9"/>
            <color rgb="FF000000"/>
            <rFont val="Tahoma"/>
            <family val="2"/>
            <charset val="204"/>
          </rPr>
          <t>F44 = F45 + F46</t>
        </r>
      </text>
    </comment>
    <comment ref="I45" authorId="0" shapeId="0" xr:uid="{41345389-6599-4D7F-9C4C-AE869A628D6A}">
      <text>
        <r>
          <rPr>
            <sz val="9"/>
            <color rgb="FF000000"/>
            <rFont val="Tahoma"/>
            <family val="2"/>
            <charset val="204"/>
          </rPr>
          <t>I44 = I45 + I46</t>
        </r>
      </text>
    </comment>
    <comment ref="J45" authorId="0" shapeId="0" xr:uid="{1484B7D8-9438-4C65-AEA8-CD149C79B0C9}">
      <text>
        <r>
          <rPr>
            <sz val="9"/>
            <color rgb="FF000000"/>
            <rFont val="Tahoma"/>
            <family val="2"/>
            <charset val="204"/>
          </rPr>
          <t>J44 = J45 + J46</t>
        </r>
      </text>
    </comment>
    <comment ref="B46" authorId="0" shapeId="0" xr:uid="{58AEAB1C-D86F-4C0D-A76A-1D987F98BCC0}">
      <text>
        <r>
          <rPr>
            <sz val="9"/>
            <color rgb="FF000000"/>
            <rFont val="Tahoma"/>
            <family val="2"/>
            <charset val="204"/>
          </rPr>
          <t>B44 = B45 + B46</t>
        </r>
      </text>
    </comment>
    <comment ref="C46" authorId="0" shapeId="0" xr:uid="{3B1B9A73-EF73-4195-8B65-55977F7173C2}">
      <text>
        <r>
          <rPr>
            <sz val="9"/>
            <color rgb="FF000000"/>
            <rFont val="Tahoma"/>
            <family val="2"/>
            <charset val="204"/>
          </rPr>
          <t>C44 = C45 + C46</t>
        </r>
      </text>
    </comment>
    <comment ref="E46" authorId="0" shapeId="0" xr:uid="{E053EA15-1DE4-4DAB-B592-4935EB7E59B2}">
      <text>
        <r>
          <rPr>
            <sz val="9"/>
            <color rgb="FF000000"/>
            <rFont val="Tahoma"/>
            <family val="2"/>
            <charset val="204"/>
          </rPr>
          <t>E44 = E45 + E46</t>
        </r>
      </text>
    </comment>
    <comment ref="F46" authorId="0" shapeId="0" xr:uid="{25B10611-A2E7-45E3-B5AB-239D947A5321}">
      <text>
        <r>
          <rPr>
            <sz val="9"/>
            <color rgb="FF000000"/>
            <rFont val="Tahoma"/>
            <family val="2"/>
            <charset val="204"/>
          </rPr>
          <t>F44 = F45 + F46</t>
        </r>
      </text>
    </comment>
    <comment ref="I46" authorId="0" shapeId="0" xr:uid="{D4EF0A1D-DBC8-4D72-8659-E2D0B80F5BC5}">
      <text>
        <r>
          <rPr>
            <sz val="9"/>
            <color rgb="FF000000"/>
            <rFont val="Tahoma"/>
            <family val="2"/>
            <charset val="204"/>
          </rPr>
          <t>I44 = I45 + I46</t>
        </r>
      </text>
    </comment>
    <comment ref="J46" authorId="0" shapeId="0" xr:uid="{38C5D6A4-5554-4014-B85B-CB4396D0DAD0}">
      <text>
        <r>
          <rPr>
            <sz val="9"/>
            <color rgb="FF000000"/>
            <rFont val="Tahoma"/>
            <family val="2"/>
            <charset val="204"/>
          </rPr>
          <t>J44 = J45 + J46</t>
        </r>
      </text>
    </comment>
  </commentList>
</comments>
</file>

<file path=xl/sharedStrings.xml><?xml version="1.0" encoding="utf-8"?>
<sst xmlns="http://schemas.openxmlformats.org/spreadsheetml/2006/main" count="601" uniqueCount="247">
  <si>
    <t xml:space="preserve">по состоянию на </t>
  </si>
  <si>
    <t>27634000</t>
  </si>
  <si>
    <t>(наименование МО)</t>
  </si>
  <si>
    <t>(отчетная дата)</t>
  </si>
  <si>
    <t>Да</t>
  </si>
  <si>
    <t>Нет</t>
  </si>
  <si>
    <t>тыс. руб.</t>
  </si>
  <si>
    <t>Наименование</t>
  </si>
  <si>
    <t>Исполнено за отч. год</t>
  </si>
  <si>
    <t>Уточненный бюджет на тек. год</t>
  </si>
  <si>
    <t>Динамика плана тек. года к исполнению  отчетного, %</t>
  </si>
  <si>
    <t>Исполнение плана, %</t>
  </si>
  <si>
    <t>К соответствующему периоду отчетного года, %</t>
  </si>
  <si>
    <t>Примечания (укрупненный КВД в форме 0503317)</t>
  </si>
  <si>
    <t>1. ДОХОДЫ,  в том числе:</t>
  </si>
  <si>
    <t>10000 и 20000</t>
  </si>
  <si>
    <t>НАЛОГОВЫЕ И НЕНАЛОГОВЫЕ ДОХОДЫ</t>
  </si>
  <si>
    <t>ННД и дотации на выравнивание БО</t>
  </si>
  <si>
    <t>расчетный</t>
  </si>
  <si>
    <t xml:space="preserve">Налоговые доходы, всего: </t>
  </si>
  <si>
    <t>с 10000 по 11000</t>
  </si>
  <si>
    <t xml:space="preserve">Налоговые доходы, без доп.норматива по НДФЛ: </t>
  </si>
  <si>
    <t>- НДФЛ, всего:</t>
  </si>
  <si>
    <t xml:space="preserve">      контенгент по НДФЛ </t>
  </si>
  <si>
    <t>дотации заменённые на доп.норматив</t>
  </si>
  <si>
    <t>данные МО</t>
  </si>
  <si>
    <t xml:space="preserve">      поступление по допнормативу по НДФЛ                                                                    </t>
  </si>
  <si>
    <t>норматив по БК РФ и ЗКО "О МБО", %</t>
  </si>
  <si>
    <t>дополнительный норматив, %</t>
  </si>
  <si>
    <t>Бюджет</t>
  </si>
  <si>
    <t>- УСНО</t>
  </si>
  <si>
    <t xml:space="preserve">- патент </t>
  </si>
  <si>
    <t>- ЕСХН</t>
  </si>
  <si>
    <t>- ЕНВД</t>
  </si>
  <si>
    <t>- налог на имущество физических лиц</t>
  </si>
  <si>
    <t>- налог на имущество организаций</t>
  </si>
  <si>
    <t>- земельный налог</t>
  </si>
  <si>
    <t>- акцизы на ГСМ</t>
  </si>
  <si>
    <t>- прочие налоговые доходы</t>
  </si>
  <si>
    <t>расчетный (10800)? Не попавшие</t>
  </si>
  <si>
    <t xml:space="preserve">Неналоговые доходы, всего:  </t>
  </si>
  <si>
    <t>с 11000</t>
  </si>
  <si>
    <t xml:space="preserve"> - доходы, от аренды земли и продажи права аренды</t>
  </si>
  <si>
    <t>1110501+1110502</t>
  </si>
  <si>
    <t>аренда земли</t>
  </si>
  <si>
    <t>продажа права аренды</t>
  </si>
  <si>
    <t xml:space="preserve"> - доходы от использования имущества</t>
  </si>
  <si>
    <t>1110000 кроме 1110501 и 1110502</t>
  </si>
  <si>
    <t xml:space="preserve"> - доходы от продажи имущества</t>
  </si>
  <si>
    <t>11401,11402,03,04,07,08,10,12,13</t>
  </si>
  <si>
    <t xml:space="preserve"> - доходы от продажи земли </t>
  </si>
  <si>
    <t xml:space="preserve"> - доходы от оказания платных услуг (работ)</t>
  </si>
  <si>
    <t xml:space="preserve"> - административные штрафы</t>
  </si>
  <si>
    <t>- платежи при использовании природных ресурсов</t>
  </si>
  <si>
    <t xml:space="preserve"> - прочие неналоговые доходы</t>
  </si>
  <si>
    <t>расчетный (11700)</t>
  </si>
  <si>
    <t>ИТОГО БЕЗВОЗМЕЗДНЫЕ ПОСТУПЛЕНИЯ</t>
  </si>
  <si>
    <t>Безвозмездные поступления от других бюджетов БС РФ</t>
  </si>
  <si>
    <t>- дотации на выравнивание БО**</t>
  </si>
  <si>
    <t>- иные межбюджетные трансферты в форме дотаций</t>
  </si>
  <si>
    <t>Субсидии всего, в том числе</t>
  </si>
  <si>
    <t>- субсидии на текущие расходы, в том числе</t>
  </si>
  <si>
    <t>за счет средств федерального бюджета</t>
  </si>
  <si>
    <t>за счет средств областного бюджета</t>
  </si>
  <si>
    <t>- субсидии на капитальные расходы, в том числе</t>
  </si>
  <si>
    <t>- субвенции, всего, в т.ч.:</t>
  </si>
  <si>
    <t>образование, всего</t>
  </si>
  <si>
    <t>по 700 РзПр не ясно!!! Как данныеМО</t>
  </si>
  <si>
    <t>сельское хозяйство</t>
  </si>
  <si>
    <t>по 405 РзПр не ясно!!!Как данныеМО</t>
  </si>
  <si>
    <t>социальная политика</t>
  </si>
  <si>
    <t>по 1000 РзПр не ясно!!!Как данныеМО</t>
  </si>
  <si>
    <t>прочие субвенции</t>
  </si>
  <si>
    <t>расчетный не ясно!!!Как данныеМО</t>
  </si>
  <si>
    <t>- иные межбюджетные трансферты всего, в том числе</t>
  </si>
  <si>
    <t>Прочие безвозмездные поступления</t>
  </si>
  <si>
    <t>20700+20100? Не попавшие 20?</t>
  </si>
  <si>
    <t>Доходы от возврата и возврат остатков МБТ</t>
  </si>
  <si>
    <t>21000?</t>
  </si>
  <si>
    <t>2. РАСХОДЫ, в том числе:</t>
  </si>
  <si>
    <t>данные 317ф</t>
  </si>
  <si>
    <t xml:space="preserve"> - ФБ</t>
  </si>
  <si>
    <t xml:space="preserve"> - ОБ Субвенции</t>
  </si>
  <si>
    <t xml:space="preserve"> - ОБ Субсидии</t>
  </si>
  <si>
    <t xml:space="preserve"> - ОБ Иные</t>
  </si>
  <si>
    <t xml:space="preserve"> - МБ, всего, в т.ч.:</t>
  </si>
  <si>
    <t>субсидии МУП</t>
  </si>
  <si>
    <t>объем необеспеченных гарантий</t>
  </si>
  <si>
    <t>субсидии на муниципальное задание</t>
  </si>
  <si>
    <t>субсидии муницпальным учреждениям на иные цели</t>
  </si>
  <si>
    <t xml:space="preserve"> - ИМБ</t>
  </si>
  <si>
    <t xml:space="preserve"> - ИБП</t>
  </si>
  <si>
    <t xml:space="preserve">Расходы на капитальные вложения </t>
  </si>
  <si>
    <t>400 Вид расх.</t>
  </si>
  <si>
    <t>доля субсидий из ОБ, %</t>
  </si>
  <si>
    <t xml:space="preserve"> - МБ</t>
  </si>
  <si>
    <t>Расходы на содержание ОМС, всего, в т.ч.:</t>
  </si>
  <si>
    <t xml:space="preserve"> расходы на содержание ОМС  (без учёта 243 и 400 КВР)</t>
  </si>
  <si>
    <t>заработная плата (211 КОСГУ)</t>
  </si>
  <si>
    <t>Норматив расходов на содержание ОМС</t>
  </si>
  <si>
    <t>выполнение норматива</t>
  </si>
  <si>
    <t>Численность работников ОМС, ед.***</t>
  </si>
  <si>
    <t>Расходы на содержание казённых учреждений, в т.ч.:</t>
  </si>
  <si>
    <t>Численность работников казённых учрежд., ед.***</t>
  </si>
  <si>
    <t>Расходы на обслуживание муниципального долга</t>
  </si>
  <si>
    <t>1300 РзПр</t>
  </si>
  <si>
    <t>в процентах к расходам</t>
  </si>
  <si>
    <t>Расходы, не отнесенные к вопросам местного значения</t>
  </si>
  <si>
    <t>ПРОФИЦИТ ( + ) / ДЕФИЦИТ ( - )</t>
  </si>
  <si>
    <t>-</t>
  </si>
  <si>
    <t>Сложившийся уровень дефицита</t>
  </si>
  <si>
    <t>Предельный размер дефицита</t>
  </si>
  <si>
    <t>Уровень дефицита/профицита</t>
  </si>
  <si>
    <t>Изменение долга</t>
  </si>
  <si>
    <t xml:space="preserve">ИСТОЧНИКИ ФИНАНСИРОВАНИЯ ДЕФИЦИТА БЮДЖЕТА </t>
  </si>
  <si>
    <t>0503317ф</t>
  </si>
  <si>
    <t xml:space="preserve"> - бюджетные кредиты полученные</t>
  </si>
  <si>
    <t>Код строки 520 Код Источника 000 0103 00</t>
  </si>
  <si>
    <t>получение бюджетных кредитов</t>
  </si>
  <si>
    <t>000 0103 0100 00 0000 700</t>
  </si>
  <si>
    <t>погашение бюджетных кредитов</t>
  </si>
  <si>
    <t>000 0103 0100 00 0000 800</t>
  </si>
  <si>
    <t xml:space="preserve"> - коммерческие кредиты</t>
  </si>
  <si>
    <t>000010200</t>
  </si>
  <si>
    <t xml:space="preserve"> получение кредитов</t>
  </si>
  <si>
    <t>000 0102 0000 00 0000 700</t>
  </si>
  <si>
    <t xml:space="preserve"> погашение кредитов</t>
  </si>
  <si>
    <t>000 0102 0000 00 0000 800</t>
  </si>
  <si>
    <t xml:space="preserve"> - исполнение муниципальных гарантий</t>
  </si>
  <si>
    <t>000010604</t>
  </si>
  <si>
    <t xml:space="preserve"> - бюджетные кредиты бюджетам</t>
  </si>
  <si>
    <t>000 01 06 05 02</t>
  </si>
  <si>
    <t>предоставление бюджетных кредитов</t>
  </si>
  <si>
    <t>000 01 06 05 02 00 0000 500</t>
  </si>
  <si>
    <t>возврат бюджетных кредитов</t>
  </si>
  <si>
    <t>000 01 06 05 02 00 0000 600</t>
  </si>
  <si>
    <t xml:space="preserve"> - бюджетные кредиты юрлицам</t>
  </si>
  <si>
    <t>000 01 06 05 01</t>
  </si>
  <si>
    <t>предоставление бюджетных кредитов юрлицам</t>
  </si>
  <si>
    <t>000 01 06 05 01 00 0000 500</t>
  </si>
  <si>
    <t>000 01 06 05 01 00 0000 600</t>
  </si>
  <si>
    <t xml:space="preserve"> - иные источники финансирования дефицита</t>
  </si>
  <si>
    <t>000 01 06 00 не ясно?(не попавшие?)</t>
  </si>
  <si>
    <t xml:space="preserve"> - изменение остатков средств на счетах:</t>
  </si>
  <si>
    <t>Код строки 700 Код источника 000010000 (700 *)?</t>
  </si>
  <si>
    <t>увеличение остатков бюджетных средств</t>
  </si>
  <si>
    <t>000 0105 0000 00 0000 500</t>
  </si>
  <si>
    <t xml:space="preserve"> уменьшение остатков бюджетных средств</t>
  </si>
  <si>
    <t>000 0105 0000 00 0000 600</t>
  </si>
  <si>
    <t>Муниципальный долг****</t>
  </si>
  <si>
    <t>долг. книга</t>
  </si>
  <si>
    <t xml:space="preserve"> - бюджетные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</si>
  <si>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</si>
  <si>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</si>
  <si>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</si>
  <si>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</si>
  <si>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Приказ Минфина</t>
  </si>
  <si>
    <t>уровень муниципального долга</t>
  </si>
  <si>
    <t>Остатки****</t>
  </si>
  <si>
    <t>0503387Ф</t>
  </si>
  <si>
    <t>муниципального образования всего, в том числе:</t>
  </si>
  <si>
    <t xml:space="preserve"> -  целевых средств </t>
  </si>
  <si>
    <t xml:space="preserve"> -  нецелевых средств в том числе:</t>
  </si>
  <si>
    <t xml:space="preserve">     - средств дорожного фонда</t>
  </si>
  <si>
    <t xml:space="preserve">     - спонсорская/благотворительная помощь (с расшифровкой)</t>
  </si>
  <si>
    <t>- по прочим безвозмездным поступлениям</t>
  </si>
  <si>
    <t>Автономных и бюджетных учреждений</t>
  </si>
  <si>
    <t>Просроч. кредиторская задолженность (ПКЗ)****</t>
  </si>
  <si>
    <t xml:space="preserve"> - ПКЗ  по ОМС и казенным учреждениям, всего, в т.ч.:</t>
  </si>
  <si>
    <t>по з/п</t>
  </si>
  <si>
    <t>по налогам и сборам</t>
  </si>
  <si>
    <t>во внебюджетные фонды</t>
  </si>
  <si>
    <t>доля задолженности в расходах, %</t>
  </si>
  <si>
    <t xml:space="preserve"> - ПКЗ автономных и бюджетных учреждений, всего</t>
  </si>
  <si>
    <t>Klg_monitor_K</t>
  </si>
  <si>
    <t>отношение к субсидированию муниципальных заданий, %</t>
  </si>
  <si>
    <t xml:space="preserve"> - ПКЗ МУП (МКП), всего, в т.ч.:</t>
  </si>
  <si>
    <t>действующие МУП</t>
  </si>
  <si>
    <t>МУП находящиееся на стадии ликвидации</t>
  </si>
  <si>
    <t>*- В графе динамика указываются итоги замены дотаций на дополнительный норматив по НДФЛ</t>
  </si>
  <si>
    <t>**- В графе динамика указывается динамика с учетом поступлений дополнительного норматива по НДФЛ</t>
  </si>
  <si>
    <t>*** - в плановых назначениях указывается штатная численность, в фактических - среднесписочная численность</t>
  </si>
  <si>
    <t xml:space="preserve">**** -  указываются данные по состоянию на 01 января отчетного/текущего года,на отчетную дату и аналогичн. дату отчетного года </t>
  </si>
  <si>
    <t>Данные изменены</t>
  </si>
  <si>
    <t>ОЦЕНКА ОЖИДАЕМОГО ИСПОЛНЕНИЯ БЮДЖЕТА Светлогорского городского округа</t>
  </si>
  <si>
    <t>Оценка ожидаемого исполнения</t>
  </si>
  <si>
    <t>в т.ч. Кап.вложения</t>
  </si>
  <si>
    <t>Динамика, %</t>
  </si>
  <si>
    <r>
      <rPr>
        <b/>
        <sz val="10"/>
        <rFont val="Times New Roman"/>
        <family val="1"/>
        <charset val="204"/>
      </rPr>
      <t xml:space="preserve">Пояснения    </t>
    </r>
    <r>
      <rPr>
        <b/>
        <sz val="8"/>
        <rFont val="Times New Roman"/>
        <family val="1"/>
        <charset val="204"/>
      </rPr>
      <t>(если уровень динамики больше 115%)</t>
    </r>
  </si>
  <si>
    <t>К плану, %</t>
  </si>
  <si>
    <t>Примечания (РзПр в форме 0503317)</t>
  </si>
  <si>
    <t>2. РАСХОДЫ</t>
  </si>
  <si>
    <t>всего</t>
  </si>
  <si>
    <t>ФБ</t>
  </si>
  <si>
    <t>ОБСв</t>
  </si>
  <si>
    <t>ОБСс</t>
  </si>
  <si>
    <t>ОБИ</t>
  </si>
  <si>
    <t>МБ</t>
  </si>
  <si>
    <t>ИМБ</t>
  </si>
  <si>
    <t>ИБП</t>
  </si>
  <si>
    <t>ОБЩЕГОСУДАРСТВЕННЫЕ ВОПРОСЫ (0100)</t>
  </si>
  <si>
    <t>0100</t>
  </si>
  <si>
    <t>ОБ</t>
  </si>
  <si>
    <t>НАЦИОНАЛЬНАЯ ЭКОНОМИКА (0400)</t>
  </si>
  <si>
    <t>0400</t>
  </si>
  <si>
    <t>ДОРОЖНОЕ ХОЗЯЙСТВО (ДОРОЖНЫЕ ФОНДЫ) (0409)</t>
  </si>
  <si>
    <t>0409</t>
  </si>
  <si>
    <t>ОСТАЛЬНЫЕ ВОПРОСЫ НАЦИОНАЛЬНОЙ ЭКОНОМИКИ</t>
  </si>
  <si>
    <t>0400 - 0409</t>
  </si>
  <si>
    <t>ЖКХ (0500)</t>
  </si>
  <si>
    <t>0500</t>
  </si>
  <si>
    <t>Жилищное хозяйство (0501)</t>
  </si>
  <si>
    <t>0501</t>
  </si>
  <si>
    <t>Коммунальное хозяйство (0502)</t>
  </si>
  <si>
    <t>0502</t>
  </si>
  <si>
    <t>Благоустройство (0503)</t>
  </si>
  <si>
    <t>0503</t>
  </si>
  <si>
    <t>Другие вопросы в области ЖКХ (0505)</t>
  </si>
  <si>
    <t>0505</t>
  </si>
  <si>
    <t>ОБРАЗОВАНИЕ (0700)</t>
  </si>
  <si>
    <t>0700</t>
  </si>
  <si>
    <t>Дошкольное образование (0701)</t>
  </si>
  <si>
    <t>0701</t>
  </si>
  <si>
    <t>Общее образование (0702)</t>
  </si>
  <si>
    <t>0702</t>
  </si>
  <si>
    <t>Дополнительное образование (0703)</t>
  </si>
  <si>
    <t>0703</t>
  </si>
  <si>
    <t>Молодежная политика (0707)</t>
  </si>
  <si>
    <t>0707</t>
  </si>
  <si>
    <t>Другие вопросы 
в области образования (0709)</t>
  </si>
  <si>
    <t>0709</t>
  </si>
  <si>
    <t>КУЛЬТУРА (0800)</t>
  </si>
  <si>
    <t>0800</t>
  </si>
  <si>
    <t>ЗДРАВООХРАНЕНИЕ (0900)</t>
  </si>
  <si>
    <t>0900</t>
  </si>
  <si>
    <t>ФИЗКУЛЬТУРА И СПОРТ (1100)</t>
  </si>
  <si>
    <t>1100</t>
  </si>
  <si>
    <t>СОЦИАЛЬНАЯ ПОЛИТИКА (1000)</t>
  </si>
  <si>
    <t>1000</t>
  </si>
  <si>
    <t>ОБСЛУЖИВАНИЕ ДОЛГА (1300)</t>
  </si>
  <si>
    <t>1300</t>
  </si>
  <si>
    <t xml:space="preserve">ИНЫЕ РАСХОДЫ (без учёта 0409, 0501,0502,0503,0701,0702,0801,1301) </t>
  </si>
  <si>
    <t xml:space="preserve">     - гранты</t>
  </si>
  <si>
    <t>Светлогорский городской округ</t>
  </si>
  <si>
    <t>Исполнено на 01.10.2021</t>
  </si>
  <si>
    <t>2021 год</t>
  </si>
  <si>
    <t>Оценка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</si>
</sst>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dd/mm/yy\ h:mm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sz val="12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0"/>
      <name val="Times New Roman CE"/>
      <charset val="204"/>
    </font>
    <font>
      <b/>
      <i/>
      <sz val="12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9"/>
      <color rgb="FF000000"/>
      <name val="Tahoma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C1DA"/>
        <bgColor rgb="FFB2B2B2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EB9C"/>
        <bgColor rgb="FFFDEADA"/>
      </patternFill>
    </fill>
    <fill>
      <patternFill patternType="solid">
        <fgColor rgb="FFFFC7CE"/>
        <bgColor rgb="FFF2DCDB"/>
      </patternFill>
    </fill>
    <fill>
      <patternFill patternType="solid">
        <fgColor rgb="FFFDEADA"/>
        <bgColor rgb="FFEBF1DE"/>
      </patternFill>
    </fill>
    <fill>
      <patternFill patternType="solid">
        <fgColor rgb="FF93CDDD"/>
        <bgColor rgb="FFB2B2B2"/>
      </patternFill>
    </fill>
    <fill>
      <patternFill patternType="solid">
        <fgColor rgb="FFDBEEF4"/>
        <bgColor rgb="FFDCE6F2"/>
      </patternFill>
    </fill>
    <fill>
      <patternFill patternType="solid">
        <fgColor rgb="FFB3A2C7"/>
        <bgColor rgb="FFB2B2B2"/>
      </patternFill>
    </fill>
    <fill>
      <patternFill patternType="solid">
        <fgColor rgb="FFE6E0EC"/>
        <bgColor rgb="FFDCE6F2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2" fillId="0" borderId="0"/>
    <xf numFmtId="0" fontId="18" fillId="9" borderId="0"/>
    <xf numFmtId="0" fontId="19" fillId="10" borderId="0"/>
    <xf numFmtId="0" fontId="20" fillId="0" borderId="0"/>
  </cellStyleXfs>
  <cellXfs count="179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1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9" fontId="2" fillId="3" borderId="3" xfId="1" applyFont="1" applyFill="1" applyBorder="1" applyAlignment="1" applyProtection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9" fontId="2" fillId="4" borderId="3" xfId="1" applyFont="1" applyFill="1" applyBorder="1" applyAlignment="1" applyProtection="1">
      <alignment horizontal="right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49" fontId="13" fillId="5" borderId="3" xfId="0" applyNumberFormat="1" applyFont="1" applyFill="1" applyBorder="1" applyAlignment="1">
      <alignment horizontal="right" vertical="center" wrapText="1"/>
    </xf>
    <xf numFmtId="9" fontId="2" fillId="4" borderId="3" xfId="2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9" fontId="2" fillId="6" borderId="3" xfId="1" applyFont="1" applyFill="1" applyBorder="1" applyAlignment="1" applyProtection="1">
      <alignment horizontal="right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left" wrapText="1"/>
    </xf>
    <xf numFmtId="0" fontId="15" fillId="0" borderId="0" xfId="0" applyFont="1"/>
    <xf numFmtId="49" fontId="7" fillId="5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9" fontId="5" fillId="5" borderId="3" xfId="1" applyFont="1" applyFill="1" applyBorder="1" applyAlignment="1" applyProtection="1">
      <alignment horizontal="right" vertical="center"/>
    </xf>
    <xf numFmtId="3" fontId="5" fillId="7" borderId="3" xfId="0" applyNumberFormat="1" applyFont="1" applyFill="1" applyBorder="1" applyAlignment="1" applyProtection="1">
      <alignment horizontal="right" vertical="center"/>
      <protection locked="0"/>
    </xf>
    <xf numFmtId="3" fontId="5" fillId="7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left"/>
    </xf>
    <xf numFmtId="3" fontId="16" fillId="5" borderId="3" xfId="0" applyNumberFormat="1" applyFont="1" applyFill="1" applyBorder="1" applyAlignment="1">
      <alignment horizontal="right" vertical="center"/>
    </xf>
    <xf numFmtId="3" fontId="16" fillId="5" borderId="5" xfId="0" applyNumberFormat="1" applyFont="1" applyFill="1" applyBorder="1" applyAlignment="1">
      <alignment horizontal="right" vertical="center"/>
    </xf>
    <xf numFmtId="0" fontId="17" fillId="0" borderId="0" xfId="0" applyFont="1"/>
    <xf numFmtId="3" fontId="16" fillId="7" borderId="3" xfId="0" applyNumberFormat="1" applyFont="1" applyFill="1" applyBorder="1" applyAlignment="1" applyProtection="1">
      <alignment horizontal="right" vertical="center"/>
      <protection locked="0"/>
    </xf>
    <xf numFmtId="3" fontId="16" fillId="5" borderId="4" xfId="0" applyNumberFormat="1" applyFont="1" applyFill="1" applyBorder="1" applyAlignment="1">
      <alignment vertical="center"/>
    </xf>
    <xf numFmtId="3" fontId="16" fillId="7" borderId="5" xfId="0" applyNumberFormat="1" applyFont="1" applyFill="1" applyBorder="1" applyAlignment="1" applyProtection="1">
      <alignment horizontal="right" vertical="center"/>
      <protection locked="0"/>
    </xf>
    <xf numFmtId="0" fontId="18" fillId="9" borderId="6" xfId="3" applyBorder="1" applyAlignment="1">
      <alignment horizontal="left"/>
    </xf>
    <xf numFmtId="0" fontId="14" fillId="0" borderId="6" xfId="0" applyFont="1" applyBorder="1" applyAlignment="1">
      <alignment horizontal="left"/>
    </xf>
    <xf numFmtId="3" fontId="5" fillId="8" borderId="3" xfId="0" applyNumberFormat="1" applyFont="1" applyFill="1" applyBorder="1" applyAlignment="1">
      <alignment horizontal="right" vertical="center" wrapText="1"/>
    </xf>
    <xf numFmtId="9" fontId="5" fillId="5" borderId="3" xfId="1" applyFont="1" applyFill="1" applyBorder="1" applyAlignment="1" applyProtection="1">
      <alignment horizontal="right" vertical="center" wrapText="1"/>
    </xf>
    <xf numFmtId="3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>
      <alignment horizontal="right" vertical="center" wrapText="1"/>
    </xf>
    <xf numFmtId="3" fontId="5" fillId="7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6" borderId="3" xfId="0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horizontal="right" vertical="center" wrapText="1"/>
    </xf>
    <xf numFmtId="9" fontId="5" fillId="6" borderId="3" xfId="1" applyFont="1" applyFill="1" applyBorder="1" applyAlignment="1" applyProtection="1">
      <alignment horizontal="right" vertical="center" wrapText="1"/>
    </xf>
    <xf numFmtId="3" fontId="5" fillId="6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3" fontId="5" fillId="5" borderId="3" xfId="0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19" fillId="10" borderId="6" xfId="4" applyBorder="1" applyAlignment="1">
      <alignment horizontal="left" wrapText="1"/>
    </xf>
    <xf numFmtId="0" fontId="19" fillId="10" borderId="6" xfId="4" applyBorder="1" applyAlignment="1">
      <alignment horizontal="left"/>
    </xf>
    <xf numFmtId="0" fontId="2" fillId="11" borderId="3" xfId="0" applyFont="1" applyFill="1" applyBorder="1" applyAlignment="1">
      <alignment horizontal="center" vertical="center" wrapText="1"/>
    </xf>
    <xf numFmtId="3" fontId="5" fillId="11" borderId="3" xfId="0" applyNumberFormat="1" applyFont="1" applyFill="1" applyBorder="1" applyAlignment="1">
      <alignment horizontal="right" vertical="center" wrapText="1"/>
    </xf>
    <xf numFmtId="9" fontId="5" fillId="11" borderId="3" xfId="1" applyFont="1" applyFill="1" applyBorder="1" applyAlignment="1" applyProtection="1">
      <alignment horizontal="right" vertical="center" wrapText="1"/>
    </xf>
    <xf numFmtId="3" fontId="5" fillId="11" borderId="5" xfId="0" applyNumberFormat="1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16" fillId="11" borderId="3" xfId="0" applyFont="1" applyFill="1" applyBorder="1" applyAlignment="1">
      <alignment horizontal="right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9" fontId="5" fillId="11" borderId="3" xfId="2" applyFont="1" applyFill="1" applyBorder="1" applyAlignment="1">
      <alignment horizontal="right" vertical="center" wrapText="1"/>
    </xf>
    <xf numFmtId="3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16" fillId="11" borderId="3" xfId="0" applyNumberFormat="1" applyFont="1" applyFill="1" applyBorder="1" applyAlignment="1">
      <alignment horizontal="right" vertical="center" wrapText="1"/>
    </xf>
    <xf numFmtId="9" fontId="16" fillId="11" borderId="3" xfId="1" applyFont="1" applyFill="1" applyBorder="1" applyAlignment="1" applyProtection="1">
      <alignment horizontal="right" vertical="center" wrapText="1"/>
    </xf>
    <xf numFmtId="3" fontId="16" fillId="11" borderId="5" xfId="0" applyNumberFormat="1" applyFont="1" applyFill="1" applyBorder="1" applyAlignment="1">
      <alignment horizontal="right" vertical="center" wrapText="1"/>
    </xf>
    <xf numFmtId="0" fontId="2" fillId="11" borderId="3" xfId="0" applyFont="1" applyFill="1" applyBorder="1" applyAlignment="1">
      <alignment horizontal="left" vertical="center" wrapText="1"/>
    </xf>
    <xf numFmtId="3" fontId="16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12" borderId="3" xfId="0" applyFont="1" applyFill="1" applyBorder="1" applyAlignment="1">
      <alignment horizontal="center" vertical="center" wrapText="1"/>
    </xf>
    <xf numFmtId="3" fontId="2" fillId="12" borderId="3" xfId="0" applyNumberFormat="1" applyFont="1" applyFill="1" applyBorder="1" applyAlignment="1">
      <alignment horizontal="right" vertical="center" wrapText="1"/>
    </xf>
    <xf numFmtId="9" fontId="2" fillId="12" borderId="3" xfId="1" applyFont="1" applyFill="1" applyBorder="1" applyAlignment="1" applyProtection="1">
      <alignment horizontal="right" vertical="center" wrapText="1"/>
    </xf>
    <xf numFmtId="3" fontId="2" fillId="12" borderId="5" xfId="0" applyNumberFormat="1" applyFont="1" applyFill="1" applyBorder="1" applyAlignment="1">
      <alignment horizontal="right" vertical="center" wrapText="1"/>
    </xf>
    <xf numFmtId="0" fontId="5" fillId="13" borderId="3" xfId="0" applyFont="1" applyFill="1" applyBorder="1" applyAlignment="1">
      <alignment horizontal="left" vertical="center" wrapText="1"/>
    </xf>
    <xf numFmtId="9" fontId="5" fillId="13" borderId="3" xfId="2" applyFont="1" applyFill="1" applyBorder="1" applyAlignment="1">
      <alignment horizontal="right" vertical="center" wrapText="1"/>
    </xf>
    <xf numFmtId="9" fontId="2" fillId="13" borderId="3" xfId="1" applyFont="1" applyFill="1" applyBorder="1" applyAlignment="1" applyProtection="1">
      <alignment horizontal="right" vertical="center" wrapText="1"/>
    </xf>
    <xf numFmtId="9" fontId="5" fillId="13" borderId="5" xfId="2" applyFont="1" applyFill="1" applyBorder="1" applyAlignment="1">
      <alignment horizontal="right" vertical="center" wrapText="1"/>
    </xf>
    <xf numFmtId="3" fontId="5" fillId="13" borderId="3" xfId="0" applyNumberFormat="1" applyFont="1" applyFill="1" applyBorder="1" applyAlignment="1">
      <alignment horizontal="right" vertical="center" wrapText="1"/>
    </xf>
    <xf numFmtId="3" fontId="5" fillId="13" borderId="5" xfId="0" applyNumberFormat="1" applyFont="1" applyFill="1" applyBorder="1" applyAlignment="1">
      <alignment horizontal="right" vertical="center" wrapText="1"/>
    </xf>
    <xf numFmtId="9" fontId="5" fillId="13" borderId="3" xfId="1" applyFont="1" applyFill="1" applyBorder="1" applyAlignment="1" applyProtection="1">
      <alignment horizontal="right" vertical="center" wrapText="1"/>
    </xf>
    <xf numFmtId="164" fontId="5" fillId="13" borderId="3" xfId="5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wrapText="1"/>
    </xf>
    <xf numFmtId="0" fontId="16" fillId="13" borderId="3" xfId="0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/>
    <xf numFmtId="49" fontId="18" fillId="9" borderId="6" xfId="3" applyNumberFormat="1" applyBorder="1" applyAlignment="1">
      <alignment horizontal="left"/>
    </xf>
    <xf numFmtId="49" fontId="18" fillId="9" borderId="6" xfId="3" applyNumberFormat="1" applyBorder="1" applyAlignment="1">
      <alignment horizontal="left" wrapText="1"/>
    </xf>
    <xf numFmtId="0" fontId="2" fillId="14" borderId="3" xfId="0" applyFont="1" applyFill="1" applyBorder="1" applyAlignment="1">
      <alignment horizontal="center" vertical="center" wrapText="1"/>
    </xf>
    <xf numFmtId="3" fontId="5" fillId="14" borderId="3" xfId="0" applyNumberFormat="1" applyFont="1" applyFill="1" applyBorder="1" applyAlignment="1">
      <alignment horizontal="right" vertical="center" wrapText="1"/>
    </xf>
    <xf numFmtId="9" fontId="5" fillId="14" borderId="3" xfId="1" applyFont="1" applyFill="1" applyBorder="1" applyAlignment="1" applyProtection="1">
      <alignment horizontal="right" vertical="center" wrapText="1"/>
    </xf>
    <xf numFmtId="3" fontId="5" fillId="14" borderId="5" xfId="0" applyNumberFormat="1" applyFont="1" applyFill="1" applyBorder="1" applyAlignment="1">
      <alignment horizontal="right" vertical="center" wrapText="1"/>
    </xf>
    <xf numFmtId="0" fontId="5" fillId="15" borderId="3" xfId="0" applyFont="1" applyFill="1" applyBorder="1" applyAlignment="1">
      <alignment horizontal="left" vertical="center" wrapText="1"/>
    </xf>
    <xf numFmtId="9" fontId="5" fillId="15" borderId="3" xfId="1" applyFont="1" applyFill="1" applyBorder="1" applyAlignment="1" applyProtection="1">
      <alignment horizontal="right" vertical="center" wrapText="1"/>
    </xf>
    <xf numFmtId="3" fontId="5" fillId="15" borderId="3" xfId="0" applyNumberFormat="1" applyFont="1" applyFill="1" applyBorder="1" applyAlignment="1">
      <alignment horizontal="right" vertical="center" wrapText="1"/>
    </xf>
    <xf numFmtId="9" fontId="5" fillId="15" borderId="3" xfId="2" applyFont="1" applyFill="1" applyBorder="1" applyAlignment="1">
      <alignment horizontal="right" vertical="center" wrapText="1"/>
    </xf>
    <xf numFmtId="3" fontId="5" fillId="15" borderId="5" xfId="0" applyNumberFormat="1" applyFont="1" applyFill="1" applyBorder="1" applyAlignment="1">
      <alignment horizontal="right" vertical="center" wrapText="1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15" borderId="3" xfId="0" applyFont="1" applyFill="1" applyBorder="1" applyAlignment="1">
      <alignment horizontal="right" vertical="center" wrapText="1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9" fontId="5" fillId="14" borderId="3" xfId="2" applyFont="1" applyFill="1" applyBorder="1" applyAlignment="1">
      <alignment horizontal="right" vertical="center" wrapText="1"/>
    </xf>
    <xf numFmtId="49" fontId="5" fillId="15" borderId="3" xfId="0" applyNumberFormat="1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16" fillId="15" borderId="3" xfId="0" applyFont="1" applyFill="1" applyBorder="1" applyAlignment="1">
      <alignment horizontal="right" vertical="center" wrapText="1"/>
    </xf>
    <xf numFmtId="3" fontId="3" fillId="0" borderId="0" xfId="0" applyNumberFormat="1" applyFont="1"/>
    <xf numFmtId="0" fontId="21" fillId="0" borderId="0" xfId="0" applyFont="1"/>
    <xf numFmtId="0" fontId="21" fillId="0" borderId="0" xfId="0" applyFont="1" applyProtection="1">
      <protection locked="0"/>
    </xf>
    <xf numFmtId="0" fontId="22" fillId="0" borderId="0" xfId="0" applyFont="1"/>
    <xf numFmtId="165" fontId="22" fillId="0" borderId="0" xfId="0" applyNumberFormat="1" applyFont="1"/>
    <xf numFmtId="0" fontId="14" fillId="0" borderId="0" xfId="0" applyFont="1"/>
    <xf numFmtId="0" fontId="25" fillId="0" borderId="0" xfId="0" applyFont="1" applyProtection="1">
      <protection locked="0"/>
    </xf>
    <xf numFmtId="0" fontId="11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3" fontId="11" fillId="11" borderId="6" xfId="0" applyNumberFormat="1" applyFont="1" applyFill="1" applyBorder="1" applyAlignment="1">
      <alignment horizontal="right" vertical="center" wrapText="1"/>
    </xf>
    <xf numFmtId="3" fontId="34" fillId="11" borderId="6" xfId="0" applyNumberFormat="1" applyFont="1" applyFill="1" applyBorder="1" applyAlignment="1">
      <alignment horizontal="right" vertical="center" wrapText="1"/>
    </xf>
    <xf numFmtId="10" fontId="34" fillId="7" borderId="6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13" xfId="0" applyNumberFormat="1" applyFont="1" applyBorder="1" applyAlignment="1">
      <alignment horizontal="right" vertical="center" wrapText="1"/>
    </xf>
    <xf numFmtId="3" fontId="7" fillId="7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horizontal="center"/>
    </xf>
    <xf numFmtId="0" fontId="35" fillId="0" borderId="0" xfId="0" applyFont="1"/>
    <xf numFmtId="3" fontId="7" fillId="7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27" fillId="7" borderId="13" xfId="0" applyNumberFormat="1" applyFont="1" applyFill="1" applyBorder="1" applyAlignment="1" applyProtection="1">
      <alignment horizontal="right" vertical="center" wrapText="1"/>
      <protection locked="0"/>
    </xf>
    <xf numFmtId="3" fontId="27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/>
    </xf>
    <xf numFmtId="3" fontId="27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25" fillId="0" borderId="0" xfId="0" applyFont="1" applyAlignment="1">
      <alignment horizontal="center" vertical="center"/>
    </xf>
    <xf numFmtId="0" fontId="27" fillId="11" borderId="11" xfId="0" applyFont="1" applyFill="1" applyBorder="1" applyAlignment="1">
      <alignment horizontal="left" vertical="center" wrapText="1"/>
    </xf>
    <xf numFmtId="0" fontId="27" fillId="11" borderId="6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34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23" fillId="0" borderId="0" xfId="0" applyFont="1"/>
    <xf numFmtId="0" fontId="38" fillId="0" borderId="0" xfId="0" applyFont="1"/>
    <xf numFmtId="10" fontId="0" fillId="0" borderId="0" xfId="0" applyNumberFormat="1" applyAlignment="1">
      <alignment horizontal="right"/>
    </xf>
    <xf numFmtId="0" fontId="7" fillId="0" borderId="0" xfId="0" applyFont="1"/>
    <xf numFmtId="3" fontId="2" fillId="11" borderId="3" xfId="0" applyNumberFormat="1" applyFont="1" applyFill="1" applyBorder="1" applyAlignment="1">
      <alignment horizontal="right" vertical="center" wrapText="1"/>
    </xf>
    <xf numFmtId="9" fontId="2" fillId="11" borderId="3" xfId="1" applyFont="1" applyFill="1" applyBorder="1" applyAlignment="1" applyProtection="1">
      <alignment horizontal="right" vertical="center" wrapText="1"/>
    </xf>
    <xf numFmtId="3" fontId="2" fillId="11" borderId="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9" fontId="40" fillId="11" borderId="6" xfId="2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16" fillId="8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15" borderId="7" xfId="0" applyFont="1" applyFill="1" applyBorder="1" applyAlignment="1">
      <alignment horizontal="left" vertical="center" wrapText="1"/>
    </xf>
    <xf numFmtId="0" fontId="16" fillId="15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34" fillId="11" borderId="11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</cellXfs>
  <cellStyles count="6">
    <cellStyle name="Excel Built-in Bad" xfId="4" xr:uid="{85C7EAE2-B10C-43DA-A7F2-B495B35DB0D1}"/>
    <cellStyle name="Excel Built-in Neutral" xfId="3" xr:uid="{3745E698-B1ED-4F09-9912-246C535694E3}"/>
    <cellStyle name="Обычный" xfId="0" builtinId="0"/>
    <cellStyle name="Обычный_Лист1" xfId="5" xr:uid="{A247AB9F-E149-417B-BB59-234EE07EC646}"/>
    <cellStyle name="Процентный" xfId="1" builtinId="5"/>
    <cellStyle name="Процентный 3" xfId="2" xr:uid="{D0523CAA-2228-4A5D-8B5B-B94865E72168}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9CFEC5ED-16CD-4E9E-B4EE-1B816FB4068F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7690DF3D-7ABC-4351-A834-009AF97405A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FE024D33-14E1-4B28-B72C-C20FF831AAE4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145CD8C7-1170-4282-8C0E-3A179EE8FDBA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746756E-83CF-4826-A518-2E4892BB74E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A014491C-C4F4-48BE-B5BB-A36ABE864D2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E99549E5-88B3-47AE-9B05-EE790CFBF6A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F405DFAF-5EFF-4F92-807E-AF37C14F1AF7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3FE34D25-2D65-409D-A047-E2FC077366F0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CBD79187-6EA3-4012-88DA-31530885E1A0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8C03CA89-A2BC-4ED8-A1EB-ECF40DEF9C29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EEF29970-9AC6-4D1D-B387-535A95E7623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FA0F7214-62E7-4BE0-B121-8691026B83FC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6D337963-2CD5-4969-B37F-71219963801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4CA3CB85-0C61-43AC-A04A-23137BF7046F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FBDC3230-5020-4F55-B56F-496911DA7ED3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93AFC82A-DE68-4AF4-8E26-B08E367A33F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3B1412BD-0941-43DA-93EC-1AE03C628D1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DEF5003D-7776-41E1-B231-53502BEDC4A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564CC0C9-B7B9-4EC9-9DD9-DA89DC30974E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E78430B1-C0E5-4AA6-997D-3989D5D02953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A803D8A8-B1B8-42CA-BADF-08D6DADCEDE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D1E62923-CB84-4FCF-90F1-9A369DEB8C99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EE73A7E3-EF64-4F93-89A7-1136C9AD1EA4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A49BB8B7-41BD-4FA2-9EF2-F2805CC981FC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D69D5774-F0E8-4573-86B4-3A955737AF9E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852897AB-FE07-468C-BEF3-4FB31131063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D6EEE973-095B-4EF3-A118-67A02FEF6AE6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3977E14C-A0D5-49B1-AFB4-95E5F1FE095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B1C365AA-2CE9-4524-A5D8-C83F0E4581D8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8FF1DA80-E772-49A9-B904-35DE5792BA13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6810E69-6996-4787-9F85-D5CE94A58A52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21A537AD-0257-421C-A4AF-C068066A8A4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B048F2A5-FDF1-4A04-A914-4D3BE6C027D9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B3696ABB-6658-4597-9599-D65EAEE94CC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CC3543B4-4543-419E-A13E-AAD0F26478F4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276FC235-FF3C-46BE-BB0D-FC6FD7612890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F8451BF0-817A-48A2-B40A-5E610F4736E8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46F15E49-93AA-4EF5-820F-72BECCAE2C1C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592A4A09-1D10-4DDC-B13E-4E5EF7A934FB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BD6F9BA3-72E5-4B05-A347-81F4A23D0341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2916C417-E13C-4005-BA61-9696E02AAF58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BD852EE0-7F85-41A4-AB7E-ADC29CAC7C06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D52BD233-0048-43B7-BBB7-08952526437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9AA8FC3E-C21A-4359-BDF0-53C41F6E840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A69A8378-B832-4E3F-886C-F8D8795EA01A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C9513960-4DBB-4916-A409-442B0C15995D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C7E61A65-5DA4-4C6F-A244-12EC85120CC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35AD20FD-D6F0-4C7A-BE5F-ED843592EB8E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2938DA8F-7200-42D3-BCE9-8F2AAD81FAAA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2D99C753-192D-4099-BBBE-B979BDE69CAB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49</xdr:row>
      <xdr:rowOff>28080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79E3FF0D-5116-42DE-BE36-156D8B020CE5}"/>
            </a:ext>
          </a:extLst>
        </xdr:cNvPr>
        <xdr:cNvSpPr/>
      </xdr:nvSpPr>
      <xdr:spPr>
        <a:xfrm>
          <a:off x="0" y="0"/>
          <a:ext cx="9524610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P145"/>
  <sheetViews>
    <sheetView workbookViewId="0">
      <selection activeCell="A77" sqref="A77:XFD88"/>
    </sheetView>
  </sheetViews>
  <sheetFormatPr defaultColWidth="0" defaultRowHeight="15.75" customHeight="1" zeroHeight="1"/>
  <cols>
    <col min="1" max="1" width="66" style="118" customWidth="1"/>
    <col min="2" max="3" width="13.28515625" style="118" customWidth="1"/>
    <col min="4" max="4" width="14.7109375" style="118" customWidth="1"/>
    <col min="5" max="5" width="15.140625" style="118" customWidth="1"/>
    <col min="6" max="6" width="13.85546875" style="118" customWidth="1"/>
    <col min="7" max="7" width="14.7109375" style="118" customWidth="1"/>
    <col min="8" max="8" width="15" style="165" customWidth="1"/>
    <col min="9" max="9" width="1.140625" style="1" customWidth="1"/>
    <col min="10" max="10" width="15.7109375" style="1" customWidth="1"/>
    <col min="11" max="11" width="35.42578125" style="1" hidden="1" customWidth="1"/>
    <col min="12" max="12" width="11.5703125" style="107" hidden="1" customWidth="1"/>
    <col min="13" max="1025" width="11.5703125" style="1" hidden="1" customWidth="1"/>
    <col min="1026" max="1030" width="0" hidden="1" customWidth="1"/>
    <col min="1031" max="16384" width="11.5703125" hidden="1"/>
  </cols>
  <sheetData>
    <row r="1" spans="1:12" s="4" customFormat="1" ht="17.25" customHeight="1">
      <c r="A1" s="167" t="s">
        <v>184</v>
      </c>
      <c r="B1" s="168"/>
      <c r="C1" s="168"/>
      <c r="D1" s="168"/>
      <c r="E1" s="169" t="s">
        <v>0</v>
      </c>
      <c r="F1" s="169"/>
      <c r="G1" s="170" t="s">
        <v>245</v>
      </c>
      <c r="H1" s="170"/>
      <c r="I1" s="1"/>
      <c r="J1" s="1"/>
      <c r="K1" s="2" t="s">
        <v>1</v>
      </c>
      <c r="L1" s="3"/>
    </row>
    <row r="2" spans="1:12" s="4" customFormat="1" ht="14.25" customHeight="1">
      <c r="A2" s="5"/>
      <c r="B2" s="171" t="s">
        <v>2</v>
      </c>
      <c r="C2" s="171"/>
      <c r="D2" s="171"/>
      <c r="E2" s="5"/>
      <c r="F2" s="5"/>
      <c r="G2" s="171" t="s">
        <v>3</v>
      </c>
      <c r="H2" s="171"/>
      <c r="I2" s="5"/>
      <c r="J2" s="5"/>
      <c r="K2" s="1"/>
      <c r="L2" s="3"/>
    </row>
    <row r="3" spans="1:12" s="4" customFormat="1" ht="15.75" customHeight="1">
      <c r="A3" s="6"/>
      <c r="B3" s="6"/>
      <c r="C3" s="6"/>
      <c r="D3" s="6"/>
      <c r="E3" s="7" t="s">
        <v>4</v>
      </c>
      <c r="F3" s="7" t="s">
        <v>5</v>
      </c>
      <c r="G3" s="6"/>
      <c r="H3" s="6"/>
      <c r="I3" s="1"/>
      <c r="J3" s="8" t="s">
        <v>6</v>
      </c>
      <c r="K3" s="8"/>
      <c r="L3" s="3"/>
    </row>
    <row r="4" spans="1:12" s="13" customFormat="1" ht="75.7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244</v>
      </c>
      <c r="F4" s="10" t="s">
        <v>185</v>
      </c>
      <c r="G4" s="10" t="s">
        <v>11</v>
      </c>
      <c r="H4" s="10" t="s">
        <v>12</v>
      </c>
      <c r="I4" s="10"/>
      <c r="J4" s="10"/>
      <c r="K4" s="11" t="s">
        <v>13</v>
      </c>
      <c r="L4" s="12"/>
    </row>
    <row r="5" spans="1:12" s="19" customFormat="1" ht="14.1" customHeight="1">
      <c r="A5" s="14" t="s">
        <v>14</v>
      </c>
      <c r="B5" s="15">
        <f>B6+B36</f>
        <v>1612092</v>
      </c>
      <c r="C5" s="15">
        <f>C6+C36</f>
        <v>854248</v>
      </c>
      <c r="D5" s="16">
        <f t="shared" ref="D5:D11" si="0">IF(C5&lt;&gt;0,IFERROR(C5/B5,"-"),"-")</f>
        <v>0.5299002786441469</v>
      </c>
      <c r="E5" s="15">
        <f>E6+E36</f>
        <v>546127</v>
      </c>
      <c r="F5" s="15">
        <f>F6+F36</f>
        <v>873477</v>
      </c>
      <c r="G5" s="16">
        <f>IF(F5&lt;&gt;0,IFERROR(F5/C5,"-"),"-")</f>
        <v>1.0225098566224329</v>
      </c>
      <c r="H5" s="16">
        <f t="shared" ref="H5:H10" si="1">IF(F5&lt;&gt;0,IFERROR(F5/B5,"-"),"-")</f>
        <v>0.54182825794061384</v>
      </c>
      <c r="I5" s="15">
        <f>I6+I36</f>
        <v>0</v>
      </c>
      <c r="J5" s="17">
        <f>J6+J36</f>
        <v>0</v>
      </c>
      <c r="K5" s="18" t="s">
        <v>15</v>
      </c>
      <c r="L5" s="3"/>
    </row>
    <row r="6" spans="1:12" s="24" customFormat="1" ht="14.1" customHeight="1">
      <c r="A6" s="20" t="s">
        <v>16</v>
      </c>
      <c r="B6" s="21">
        <f>B8+B25</f>
        <v>374212</v>
      </c>
      <c r="C6" s="21">
        <f>C8+C25</f>
        <v>404730</v>
      </c>
      <c r="D6" s="22">
        <f t="shared" si="0"/>
        <v>1.081552702746037</v>
      </c>
      <c r="E6" s="21">
        <f>E8+E25</f>
        <v>297462</v>
      </c>
      <c r="F6" s="21">
        <f>F8+F25</f>
        <v>426489</v>
      </c>
      <c r="G6" s="22">
        <f>IF(F6&lt;&gt;0,IFERROR(F6/C6,"-"),"-")</f>
        <v>1.0537617671039952</v>
      </c>
      <c r="H6" s="22">
        <f t="shared" si="1"/>
        <v>1.1396988872617662</v>
      </c>
      <c r="I6" s="21">
        <f>I8+I25</f>
        <v>0</v>
      </c>
      <c r="J6" s="23">
        <f>J8+J25</f>
        <v>0</v>
      </c>
      <c r="K6" s="18">
        <v>10000</v>
      </c>
      <c r="L6" s="3"/>
    </row>
    <row r="7" spans="1:12" s="24" customFormat="1" ht="14.1" customHeight="1">
      <c r="A7" s="25" t="s">
        <v>17</v>
      </c>
      <c r="B7" s="21">
        <f>B6+B38</f>
        <v>381394</v>
      </c>
      <c r="C7" s="21">
        <f>C6+C38</f>
        <v>413331</v>
      </c>
      <c r="D7" s="26">
        <f t="shared" si="0"/>
        <v>1.0837375522425627</v>
      </c>
      <c r="E7" s="21">
        <f>E6+E38</f>
        <v>303999</v>
      </c>
      <c r="F7" s="21">
        <f>F6+F38</f>
        <v>435090</v>
      </c>
      <c r="G7" s="22">
        <f t="shared" ref="G7:G11" si="2">IF(F7&lt;&gt;0,IFERROR(F7/C7,"-"),"-")</f>
        <v>1.0526430391139305</v>
      </c>
      <c r="H7" s="22">
        <f t="shared" si="1"/>
        <v>1.1407887905945033</v>
      </c>
      <c r="I7" s="21">
        <f>I6+I38</f>
        <v>0</v>
      </c>
      <c r="J7" s="23">
        <f>J6+J38</f>
        <v>0</v>
      </c>
      <c r="K7" s="18" t="s">
        <v>18</v>
      </c>
      <c r="L7" s="3"/>
    </row>
    <row r="8" spans="1:12" s="32" customFormat="1" ht="30.75" customHeight="1">
      <c r="A8" s="27" t="s">
        <v>19</v>
      </c>
      <c r="B8" s="28">
        <f>B10+B16+B17+B18+B19+B20+B21+B22+B23+B24</f>
        <v>231613</v>
      </c>
      <c r="C8" s="28">
        <f>C10+C16+C17+C18+C19+C20+C21+C22+C23+C24</f>
        <v>246907</v>
      </c>
      <c r="D8" s="29">
        <f t="shared" si="0"/>
        <v>1.0660325629390406</v>
      </c>
      <c r="E8" s="28">
        <f>E10+E16+E17+E18+E19+E20+E21+E22+E23+E24</f>
        <v>204339</v>
      </c>
      <c r="F8" s="28">
        <f>F10+F16+F17+F18+F19+F20+F21+F22+F23+F24</f>
        <v>290648</v>
      </c>
      <c r="G8" s="29">
        <f t="shared" si="2"/>
        <v>1.1771557712013025</v>
      </c>
      <c r="H8" s="29">
        <f t="shared" si="1"/>
        <v>1.2548863837522073</v>
      </c>
      <c r="I8" s="28">
        <f>I10+I16+I17+I18+I19+I20+I21+I22+I23+I24</f>
        <v>0</v>
      </c>
      <c r="J8" s="30">
        <f>J10+J16+J17+J18+J19+J20+J21+J22+J23+J24</f>
        <v>0</v>
      </c>
      <c r="K8" s="31" t="s">
        <v>20</v>
      </c>
      <c r="L8" s="3"/>
    </row>
    <row r="9" spans="1:12" s="32" customFormat="1" ht="14.1" customHeight="1">
      <c r="A9" s="27" t="s">
        <v>21</v>
      </c>
      <c r="B9" s="28">
        <f>B8-B13</f>
        <v>221826.18181818182</v>
      </c>
      <c r="C9" s="28">
        <f>C8-C13</f>
        <v>236902.09090909091</v>
      </c>
      <c r="D9" s="29">
        <f t="shared" si="0"/>
        <v>1.0679627128201934</v>
      </c>
      <c r="E9" s="28">
        <f>E8-E13</f>
        <v>196518.09090909091</v>
      </c>
      <c r="F9" s="28">
        <f>F8-F13</f>
        <v>240755.57575757575</v>
      </c>
      <c r="G9" s="29">
        <f t="shared" si="2"/>
        <v>1.0162661495882008</v>
      </c>
      <c r="H9" s="29">
        <f t="shared" si="1"/>
        <v>1.0853343540615474</v>
      </c>
      <c r="I9" s="28">
        <f>I8-I13</f>
        <v>0</v>
      </c>
      <c r="J9" s="30">
        <f>J8-J13</f>
        <v>0</v>
      </c>
      <c r="K9" s="18" t="s">
        <v>18</v>
      </c>
      <c r="L9" s="3"/>
    </row>
    <row r="10" spans="1:12" ht="14.1" customHeight="1">
      <c r="A10" s="33" t="s">
        <v>22</v>
      </c>
      <c r="B10" s="34">
        <v>107655</v>
      </c>
      <c r="C10" s="34">
        <v>110054</v>
      </c>
      <c r="D10" s="35">
        <f t="shared" si="0"/>
        <v>1.0222841484371372</v>
      </c>
      <c r="E10" s="34">
        <v>86030</v>
      </c>
      <c r="F10" s="34">
        <v>126650</v>
      </c>
      <c r="G10" s="35">
        <f t="shared" si="2"/>
        <v>1.1507986988205789</v>
      </c>
      <c r="H10" s="35">
        <f t="shared" si="1"/>
        <v>1.176443267846361</v>
      </c>
      <c r="I10" s="36"/>
      <c r="J10" s="37"/>
      <c r="K10" s="38">
        <v>10102</v>
      </c>
      <c r="L10" s="3"/>
    </row>
    <row r="11" spans="1:12" s="41" customFormat="1" ht="14.1" customHeight="1">
      <c r="A11" s="25" t="s">
        <v>23</v>
      </c>
      <c r="B11" s="39">
        <f>IFERROR(B10*100/(B14+B15),"-")</f>
        <v>326227.27272727271</v>
      </c>
      <c r="C11" s="39">
        <f>IFERROR(C10*100/(C14+C15),"-")</f>
        <v>333496.96969696973</v>
      </c>
      <c r="D11" s="35">
        <f t="shared" si="0"/>
        <v>1.0222841484371372</v>
      </c>
      <c r="E11" s="39">
        <f>IFERROR(E10*100/(E14+E15),"-")</f>
        <v>260696.9696969697</v>
      </c>
      <c r="F11" s="39">
        <f>IFERROR(F10*100/(F14+F15),"-")</f>
        <v>383787.87878787878</v>
      </c>
      <c r="G11" s="35">
        <f t="shared" si="2"/>
        <v>1.1507986988205789</v>
      </c>
      <c r="H11" s="35"/>
      <c r="I11" s="39" t="str">
        <f>IFERROR(I10*100/(I14+I15),"-")</f>
        <v>-</v>
      </c>
      <c r="J11" s="40" t="str">
        <f>IFERROR(J10*100/(J14+J15),"-")</f>
        <v>-</v>
      </c>
      <c r="K11" s="18" t="s">
        <v>18</v>
      </c>
      <c r="L11" s="3"/>
    </row>
    <row r="12" spans="1:12" s="41" customFormat="1" ht="14.1" customHeight="1">
      <c r="A12" s="25" t="s">
        <v>24</v>
      </c>
      <c r="B12" s="42"/>
      <c r="C12" s="42"/>
      <c r="D12" s="166">
        <f>C13-C12</f>
        <v>10004.909090909092</v>
      </c>
      <c r="E12" s="42"/>
      <c r="F12" s="42"/>
      <c r="G12" s="43"/>
      <c r="H12" s="166">
        <f>F13-F12</f>
        <v>49892.42424242424</v>
      </c>
      <c r="I12" s="42"/>
      <c r="J12" s="44"/>
      <c r="K12" s="38" t="s">
        <v>25</v>
      </c>
      <c r="L12" s="3"/>
    </row>
    <row r="13" spans="1:12" s="41" customFormat="1" ht="14.1" customHeight="1">
      <c r="A13" s="25" t="s">
        <v>26</v>
      </c>
      <c r="B13" s="39">
        <f>IFERROR((B10/(B14+B15))*B15,0)</f>
        <v>9786.818181818182</v>
      </c>
      <c r="C13" s="39">
        <f>IFERROR((C10/(C14+C15))*C15,0)</f>
        <v>10004.909090909092</v>
      </c>
      <c r="D13" s="166"/>
      <c r="E13" s="39">
        <f>IFERROR((E10/(E14+E15))*E15,0)</f>
        <v>7820.909090909091</v>
      </c>
      <c r="F13" s="39">
        <f>IFERROR((F10/(F14+F15))*F15,0)</f>
        <v>49892.42424242424</v>
      </c>
      <c r="G13" s="35"/>
      <c r="H13" s="166"/>
      <c r="I13" s="39">
        <f>IFERROR((I10/(I14+I15))*I15,0)</f>
        <v>0</v>
      </c>
      <c r="J13" s="40">
        <f>IFERROR((J10/(J14+J15))*J15,0)</f>
        <v>0</v>
      </c>
      <c r="K13" s="18" t="s">
        <v>18</v>
      </c>
      <c r="L13" s="3"/>
    </row>
    <row r="14" spans="1:12" s="41" customFormat="1" ht="14.1" customHeight="1">
      <c r="A14" s="25" t="s">
        <v>27</v>
      </c>
      <c r="B14" s="42">
        <v>30</v>
      </c>
      <c r="C14" s="42">
        <v>30</v>
      </c>
      <c r="D14" s="35">
        <f t="shared" ref="D14:D42" si="3">IF(C14&lt;&gt;0,IFERROR(C14/B14,"-"),"-")</f>
        <v>1</v>
      </c>
      <c r="E14" s="42">
        <v>30</v>
      </c>
      <c r="F14" s="42">
        <v>20</v>
      </c>
      <c r="G14" s="35">
        <f t="shared" ref="G14:G42" si="4">IF(F14&lt;&gt;0,IFERROR(F14/C14,"-"),"-")</f>
        <v>0.66666666666666663</v>
      </c>
      <c r="H14" s="35"/>
      <c r="I14" s="42"/>
      <c r="J14" s="44"/>
      <c r="K14" s="38" t="s">
        <v>25</v>
      </c>
      <c r="L14" s="3"/>
    </row>
    <row r="15" spans="1:12" s="41" customFormat="1" ht="14.1" customHeight="1">
      <c r="A15" s="25" t="s">
        <v>28</v>
      </c>
      <c r="B15" s="42">
        <v>3</v>
      </c>
      <c r="C15" s="42">
        <v>3</v>
      </c>
      <c r="D15" s="35">
        <f t="shared" si="3"/>
        <v>1</v>
      </c>
      <c r="E15" s="42">
        <v>3</v>
      </c>
      <c r="F15" s="42">
        <v>13</v>
      </c>
      <c r="G15" s="35">
        <f t="shared" si="4"/>
        <v>4.333333333333333</v>
      </c>
      <c r="H15" s="35"/>
      <c r="I15" s="42"/>
      <c r="J15" s="44"/>
      <c r="K15" s="38" t="s">
        <v>29</v>
      </c>
      <c r="L15" s="3"/>
    </row>
    <row r="16" spans="1:12" ht="14.1" customHeight="1">
      <c r="A16" s="33" t="s">
        <v>30</v>
      </c>
      <c r="B16" s="34">
        <v>21114</v>
      </c>
      <c r="C16" s="34">
        <v>31440</v>
      </c>
      <c r="D16" s="35">
        <f t="shared" si="3"/>
        <v>1.4890593918726911</v>
      </c>
      <c r="E16" s="34">
        <v>33169</v>
      </c>
      <c r="F16" s="34">
        <v>44440</v>
      </c>
      <c r="G16" s="35">
        <f t="shared" si="4"/>
        <v>1.4134860050890585</v>
      </c>
      <c r="H16" s="35">
        <f>IF(F16&lt;&gt;0,IFERROR(F16/B16,"-"),"-")</f>
        <v>2.104764611158473</v>
      </c>
      <c r="I16" s="36"/>
      <c r="J16" s="37"/>
      <c r="K16" s="38">
        <v>10501</v>
      </c>
      <c r="L16" s="3"/>
    </row>
    <row r="17" spans="1:12" ht="14.1" customHeight="1">
      <c r="A17" s="33" t="s">
        <v>31</v>
      </c>
      <c r="B17" s="34">
        <v>425</v>
      </c>
      <c r="C17" s="34">
        <v>8539</v>
      </c>
      <c r="D17" s="35">
        <f t="shared" si="3"/>
        <v>20.091764705882351</v>
      </c>
      <c r="E17" s="34">
        <v>6531</v>
      </c>
      <c r="F17" s="34">
        <v>8539</v>
      </c>
      <c r="G17" s="35">
        <f t="shared" si="4"/>
        <v>1</v>
      </c>
      <c r="H17" s="35">
        <f t="shared" ref="H17:H35" si="5">IF(F17&lt;&gt;0,IFERROR(F17/B17,"-"),"-")</f>
        <v>20.091764705882351</v>
      </c>
      <c r="I17" s="36"/>
      <c r="J17" s="37"/>
      <c r="K17" s="38">
        <v>10504</v>
      </c>
      <c r="L17" s="3"/>
    </row>
    <row r="18" spans="1:12" ht="14.1" customHeight="1">
      <c r="A18" s="33" t="s">
        <v>32</v>
      </c>
      <c r="B18" s="34">
        <v>0</v>
      </c>
      <c r="C18" s="34">
        <v>8423</v>
      </c>
      <c r="D18" s="35" t="str">
        <f t="shared" si="3"/>
        <v>-</v>
      </c>
      <c r="E18" s="34">
        <v>8498</v>
      </c>
      <c r="F18" s="34">
        <v>8479</v>
      </c>
      <c r="G18" s="35">
        <f t="shared" si="4"/>
        <v>1.006648462543037</v>
      </c>
      <c r="H18" s="35" t="str">
        <f t="shared" si="5"/>
        <v>-</v>
      </c>
      <c r="I18" s="36"/>
      <c r="J18" s="37"/>
      <c r="K18" s="38">
        <v>10503</v>
      </c>
      <c r="L18" s="3"/>
    </row>
    <row r="19" spans="1:12" ht="14.1" customHeight="1">
      <c r="A19" s="33" t="s">
        <v>33</v>
      </c>
      <c r="B19" s="34">
        <v>17491</v>
      </c>
      <c r="C19" s="34">
        <v>5475</v>
      </c>
      <c r="D19" s="35">
        <f t="shared" si="3"/>
        <v>0.31301812360642617</v>
      </c>
      <c r="E19" s="34">
        <v>5447</v>
      </c>
      <c r="F19" s="34">
        <v>5605</v>
      </c>
      <c r="G19" s="35">
        <f t="shared" si="4"/>
        <v>1.0237442922374429</v>
      </c>
      <c r="H19" s="35">
        <f t="shared" si="5"/>
        <v>0.32045051740895319</v>
      </c>
      <c r="I19" s="36"/>
      <c r="J19" s="37"/>
      <c r="K19" s="38">
        <v>10502</v>
      </c>
      <c r="L19" s="3"/>
    </row>
    <row r="20" spans="1:12" ht="14.1" customHeight="1">
      <c r="A20" s="33" t="s">
        <v>34</v>
      </c>
      <c r="B20" s="34">
        <v>14248</v>
      </c>
      <c r="C20" s="34">
        <v>17570</v>
      </c>
      <c r="D20" s="35">
        <f t="shared" si="3"/>
        <v>1.233155530600786</v>
      </c>
      <c r="E20" s="34">
        <v>1700</v>
      </c>
      <c r="F20" s="34">
        <v>17570</v>
      </c>
      <c r="G20" s="35">
        <f t="shared" si="4"/>
        <v>1</v>
      </c>
      <c r="H20" s="35">
        <f t="shared" si="5"/>
        <v>1.233155530600786</v>
      </c>
      <c r="I20" s="36"/>
      <c r="J20" s="37"/>
      <c r="K20" s="38">
        <v>10601</v>
      </c>
      <c r="L20" s="3"/>
    </row>
    <row r="21" spans="1:12" ht="14.1" customHeight="1">
      <c r="A21" s="33" t="s">
        <v>35</v>
      </c>
      <c r="B21" s="34">
        <v>13577</v>
      </c>
      <c r="C21" s="34">
        <v>15064</v>
      </c>
      <c r="D21" s="35">
        <f t="shared" si="3"/>
        <v>1.1095234587906018</v>
      </c>
      <c r="E21" s="34">
        <v>14204</v>
      </c>
      <c r="F21" s="34">
        <v>19614</v>
      </c>
      <c r="G21" s="35">
        <f t="shared" si="4"/>
        <v>1.3020446096654275</v>
      </c>
      <c r="H21" s="35">
        <f t="shared" si="5"/>
        <v>1.4446490388156441</v>
      </c>
      <c r="I21" s="36"/>
      <c r="J21" s="37"/>
      <c r="K21" s="38">
        <v>10602</v>
      </c>
      <c r="L21" s="3"/>
    </row>
    <row r="22" spans="1:12" ht="14.1" customHeight="1">
      <c r="A22" s="33" t="s">
        <v>36</v>
      </c>
      <c r="B22" s="34">
        <v>46652</v>
      </c>
      <c r="C22" s="34">
        <v>39406</v>
      </c>
      <c r="D22" s="35">
        <f t="shared" si="3"/>
        <v>0.84467975649489835</v>
      </c>
      <c r="E22" s="34">
        <v>40797</v>
      </c>
      <c r="F22" s="34">
        <f>42145+6670</f>
        <v>48815</v>
      </c>
      <c r="G22" s="35">
        <f t="shared" si="4"/>
        <v>1.2387707455717403</v>
      </c>
      <c r="H22" s="35">
        <f t="shared" si="5"/>
        <v>1.0463645717225414</v>
      </c>
      <c r="I22" s="36"/>
      <c r="J22" s="37"/>
      <c r="K22" s="38">
        <v>10606</v>
      </c>
      <c r="L22" s="3"/>
    </row>
    <row r="23" spans="1:12" ht="14.1" customHeight="1">
      <c r="A23" s="33" t="s">
        <v>37</v>
      </c>
      <c r="B23" s="34">
        <v>5794</v>
      </c>
      <c r="C23" s="34">
        <v>6631</v>
      </c>
      <c r="D23" s="35">
        <f t="shared" si="3"/>
        <v>1.1444597859855024</v>
      </c>
      <c r="E23" s="34">
        <v>4917</v>
      </c>
      <c r="F23" s="34">
        <v>6631</v>
      </c>
      <c r="G23" s="35">
        <f t="shared" si="4"/>
        <v>1</v>
      </c>
      <c r="H23" s="35">
        <f t="shared" si="5"/>
        <v>1.1444597859855024</v>
      </c>
      <c r="I23" s="36"/>
      <c r="J23" s="37"/>
      <c r="K23" s="38">
        <v>10302</v>
      </c>
      <c r="L23" s="3"/>
    </row>
    <row r="24" spans="1:12" ht="14.1" customHeight="1">
      <c r="A24" s="33" t="s">
        <v>38</v>
      </c>
      <c r="B24" s="34">
        <v>4657</v>
      </c>
      <c r="C24" s="34">
        <v>4305</v>
      </c>
      <c r="D24" s="35">
        <f t="shared" si="3"/>
        <v>0.9244148593515138</v>
      </c>
      <c r="E24" s="34">
        <v>3046</v>
      </c>
      <c r="F24" s="34">
        <v>4305</v>
      </c>
      <c r="G24" s="35">
        <f t="shared" si="4"/>
        <v>1</v>
      </c>
      <c r="H24" s="35">
        <f t="shared" si="5"/>
        <v>0.9244148593515138</v>
      </c>
      <c r="I24" s="36"/>
      <c r="J24" s="37"/>
      <c r="K24" s="45" t="s">
        <v>39</v>
      </c>
      <c r="L24" s="3"/>
    </row>
    <row r="25" spans="1:12" s="32" customFormat="1" ht="14.1" customHeight="1">
      <c r="A25" s="27" t="s">
        <v>40</v>
      </c>
      <c r="B25" s="28">
        <f>B26+B29+B30+B31+B32+B33+B35+B34</f>
        <v>142599</v>
      </c>
      <c r="C25" s="28">
        <f>C26+C29+C30+C31+C32+C33+C35+C34</f>
        <v>157823</v>
      </c>
      <c r="D25" s="29">
        <f t="shared" si="3"/>
        <v>1.1067609169769774</v>
      </c>
      <c r="E25" s="28">
        <f>E26+E29+E30+E31+E32+E33+E35+E34</f>
        <v>93123</v>
      </c>
      <c r="F25" s="28">
        <f>F26+F29+F30+F31+F32+F33+F35+F34</f>
        <v>135841</v>
      </c>
      <c r="G25" s="29">
        <f t="shared" si="4"/>
        <v>0.86071738593234193</v>
      </c>
      <c r="H25" s="29">
        <f>IF(F25&lt;&gt;0,IFERROR(F25/B25,"-"),"-")</f>
        <v>0.95260836331250565</v>
      </c>
      <c r="I25" s="28">
        <f>I26+I29+I30+I31+I32+I33+I35+I34</f>
        <v>0</v>
      </c>
      <c r="J25" s="30">
        <f>J26+J29+J30+J31+J32+J33+J35+J34</f>
        <v>0</v>
      </c>
      <c r="K25" s="46" t="s">
        <v>41</v>
      </c>
      <c r="L25" s="3"/>
    </row>
    <row r="26" spans="1:12" s="32" customFormat="1" ht="14.1" customHeight="1">
      <c r="A26" s="33" t="s">
        <v>42</v>
      </c>
      <c r="B26" s="47">
        <v>112463</v>
      </c>
      <c r="C26" s="47">
        <v>100000</v>
      </c>
      <c r="D26" s="48">
        <f t="shared" si="3"/>
        <v>0.88918133074877959</v>
      </c>
      <c r="E26" s="47">
        <v>72996</v>
      </c>
      <c r="F26" s="47">
        <v>110000</v>
      </c>
      <c r="G26" s="48">
        <f t="shared" si="4"/>
        <v>1.1000000000000001</v>
      </c>
      <c r="H26" s="35">
        <f t="shared" si="5"/>
        <v>0.97809946382365753</v>
      </c>
      <c r="I26" s="49"/>
      <c r="J26" s="49"/>
      <c r="K26" s="38" t="s">
        <v>43</v>
      </c>
      <c r="L26" s="3"/>
    </row>
    <row r="27" spans="1:12" s="32" customFormat="1" ht="14.1" customHeight="1">
      <c r="A27" s="25" t="s">
        <v>44</v>
      </c>
      <c r="B27" s="49">
        <v>112463</v>
      </c>
      <c r="C27" s="49">
        <v>100000</v>
      </c>
      <c r="D27" s="48">
        <f t="shared" si="3"/>
        <v>0.88918133074877959</v>
      </c>
      <c r="E27" s="49">
        <v>72996</v>
      </c>
      <c r="F27" s="49">
        <v>110000</v>
      </c>
      <c r="G27" s="48">
        <f t="shared" si="4"/>
        <v>1.1000000000000001</v>
      </c>
      <c r="H27" s="35">
        <f t="shared" si="5"/>
        <v>0.97809946382365753</v>
      </c>
      <c r="I27" s="49"/>
      <c r="J27" s="49"/>
      <c r="K27" s="38" t="s">
        <v>25</v>
      </c>
      <c r="L27" s="3"/>
    </row>
    <row r="28" spans="1:12" s="32" customFormat="1" ht="14.1" customHeight="1">
      <c r="A28" s="25" t="s">
        <v>45</v>
      </c>
      <c r="B28" s="49"/>
      <c r="C28" s="49"/>
      <c r="D28" s="48" t="str">
        <f t="shared" si="3"/>
        <v>-</v>
      </c>
      <c r="E28" s="49"/>
      <c r="F28" s="49"/>
      <c r="G28" s="48" t="str">
        <f t="shared" si="4"/>
        <v>-</v>
      </c>
      <c r="H28" s="35" t="str">
        <f t="shared" si="5"/>
        <v>-</v>
      </c>
      <c r="I28" s="49"/>
      <c r="J28" s="49"/>
      <c r="K28" s="38" t="s">
        <v>25</v>
      </c>
      <c r="L28" s="3"/>
    </row>
    <row r="29" spans="1:12" s="32" customFormat="1" ht="14.1" customHeight="1">
      <c r="A29" s="33" t="s">
        <v>46</v>
      </c>
      <c r="B29" s="50">
        <v>5741</v>
      </c>
      <c r="C29" s="50">
        <v>5604</v>
      </c>
      <c r="D29" s="48">
        <f t="shared" si="3"/>
        <v>0.97613656157463857</v>
      </c>
      <c r="E29" s="50">
        <v>4551</v>
      </c>
      <c r="F29" s="50">
        <f>1097+1177+1888+1699</f>
        <v>5861</v>
      </c>
      <c r="G29" s="48">
        <f t="shared" si="4"/>
        <v>1.0458600999286225</v>
      </c>
      <c r="H29" s="35">
        <f t="shared" si="5"/>
        <v>1.0209022818324334</v>
      </c>
      <c r="I29" s="49"/>
      <c r="J29" s="51"/>
      <c r="K29" s="38" t="s">
        <v>47</v>
      </c>
      <c r="L29" s="3"/>
    </row>
    <row r="30" spans="1:12" s="32" customFormat="1" ht="14.1" customHeight="1">
      <c r="A30" s="33" t="s">
        <v>48</v>
      </c>
      <c r="B30" s="50">
        <v>273</v>
      </c>
      <c r="C30" s="50">
        <v>31407</v>
      </c>
      <c r="D30" s="48">
        <f t="shared" si="3"/>
        <v>115.04395604395604</v>
      </c>
      <c r="E30" s="50">
        <v>146</v>
      </c>
      <c r="F30" s="50">
        <v>195</v>
      </c>
      <c r="G30" s="48">
        <f t="shared" si="4"/>
        <v>6.2088069538637882E-3</v>
      </c>
      <c r="H30" s="35">
        <f t="shared" si="5"/>
        <v>0.7142857142857143</v>
      </c>
      <c r="I30" s="49"/>
      <c r="J30" s="51"/>
      <c r="K30" s="38" t="s">
        <v>49</v>
      </c>
      <c r="L30" s="3"/>
    </row>
    <row r="31" spans="1:12" s="32" customFormat="1" ht="14.1" customHeight="1">
      <c r="A31" s="33" t="s">
        <v>50</v>
      </c>
      <c r="B31" s="50">
        <v>12809</v>
      </c>
      <c r="C31" s="50">
        <v>10000</v>
      </c>
      <c r="D31" s="48">
        <f t="shared" si="3"/>
        <v>0.78070106956046526</v>
      </c>
      <c r="E31" s="50">
        <v>7785</v>
      </c>
      <c r="F31" s="50">
        <f>10000-195</f>
        <v>9805</v>
      </c>
      <c r="G31" s="48">
        <f t="shared" si="4"/>
        <v>0.98050000000000004</v>
      </c>
      <c r="H31" s="35">
        <f t="shared" si="5"/>
        <v>0.76547739870403619</v>
      </c>
      <c r="I31" s="49"/>
      <c r="J31" s="51"/>
      <c r="K31" s="38">
        <v>11406</v>
      </c>
      <c r="L31" s="3"/>
    </row>
    <row r="32" spans="1:12" s="32" customFormat="1" ht="14.1" customHeight="1">
      <c r="A32" s="33" t="s">
        <v>51</v>
      </c>
      <c r="B32" s="50">
        <v>167</v>
      </c>
      <c r="C32" s="50">
        <v>54</v>
      </c>
      <c r="D32" s="48">
        <f t="shared" si="3"/>
        <v>0.32335329341317365</v>
      </c>
      <c r="E32" s="50">
        <v>1033</v>
      </c>
      <c r="F32" s="50">
        <v>1020</v>
      </c>
      <c r="G32" s="48">
        <f t="shared" si="4"/>
        <v>18.888888888888889</v>
      </c>
      <c r="H32" s="35">
        <f t="shared" si="5"/>
        <v>6.1077844311377243</v>
      </c>
      <c r="I32" s="49"/>
      <c r="J32" s="51"/>
      <c r="K32" s="46">
        <v>11300</v>
      </c>
      <c r="L32" s="3"/>
    </row>
    <row r="33" spans="1:12" s="32" customFormat="1" ht="14.1" customHeight="1">
      <c r="A33" s="33" t="s">
        <v>52</v>
      </c>
      <c r="B33" s="50">
        <v>6111</v>
      </c>
      <c r="C33" s="50">
        <v>5500</v>
      </c>
      <c r="D33" s="48">
        <f t="shared" si="3"/>
        <v>0.90001636393388973</v>
      </c>
      <c r="E33" s="50">
        <v>2569</v>
      </c>
      <c r="F33" s="50">
        <v>3800</v>
      </c>
      <c r="G33" s="48">
        <f t="shared" si="4"/>
        <v>0.69090909090909092</v>
      </c>
      <c r="H33" s="35">
        <f t="shared" si="5"/>
        <v>0.62182948780886926</v>
      </c>
      <c r="I33" s="49"/>
      <c r="J33" s="51"/>
      <c r="K33" s="46">
        <v>11600</v>
      </c>
      <c r="L33" s="3"/>
    </row>
    <row r="34" spans="1:12" s="32" customFormat="1" ht="14.1" customHeight="1">
      <c r="A34" s="33" t="s">
        <v>53</v>
      </c>
      <c r="B34" s="50">
        <v>115</v>
      </c>
      <c r="C34" s="50">
        <v>106</v>
      </c>
      <c r="D34" s="48">
        <f t="shared" si="3"/>
        <v>0.92173913043478262</v>
      </c>
      <c r="E34" s="50">
        <v>7</v>
      </c>
      <c r="F34" s="50">
        <v>8</v>
      </c>
      <c r="G34" s="48">
        <f t="shared" si="4"/>
        <v>7.5471698113207544E-2</v>
      </c>
      <c r="H34" s="35">
        <f t="shared" si="5"/>
        <v>6.9565217391304349E-2</v>
      </c>
      <c r="I34" s="49"/>
      <c r="J34" s="51"/>
      <c r="K34" s="46">
        <v>11200</v>
      </c>
      <c r="L34" s="3"/>
    </row>
    <row r="35" spans="1:12" ht="14.1" customHeight="1">
      <c r="A35" s="33" t="s">
        <v>54</v>
      </c>
      <c r="B35" s="50">
        <v>4920</v>
      </c>
      <c r="C35" s="50">
        <v>5152</v>
      </c>
      <c r="D35" s="48">
        <f t="shared" si="3"/>
        <v>1.0471544715447154</v>
      </c>
      <c r="E35" s="50">
        <v>4036</v>
      </c>
      <c r="F35" s="50">
        <v>5152</v>
      </c>
      <c r="G35" s="48">
        <f t="shared" si="4"/>
        <v>1</v>
      </c>
      <c r="H35" s="35">
        <f t="shared" si="5"/>
        <v>1.0471544715447154</v>
      </c>
      <c r="I35" s="49"/>
      <c r="J35" s="51"/>
      <c r="K35" s="45" t="s">
        <v>55</v>
      </c>
      <c r="L35" s="3"/>
    </row>
    <row r="36" spans="1:12" s="24" customFormat="1" ht="14.1" customHeight="1">
      <c r="A36" s="20" t="s">
        <v>56</v>
      </c>
      <c r="B36" s="21">
        <f>B37++B54+B55</f>
        <v>1237880</v>
      </c>
      <c r="C36" s="21">
        <f>C37+C54+C55</f>
        <v>449518</v>
      </c>
      <c r="D36" s="22">
        <f t="shared" si="3"/>
        <v>0.36313536045497141</v>
      </c>
      <c r="E36" s="21">
        <f>E37+E54+E55</f>
        <v>248665</v>
      </c>
      <c r="F36" s="21">
        <f>F37+F54+F55</f>
        <v>446988</v>
      </c>
      <c r="G36" s="22">
        <f t="shared" si="4"/>
        <v>0.99437174929591254</v>
      </c>
      <c r="H36" s="22">
        <f>IF(F36&lt;&gt;0,IFERROR(F36/B36,"-"),"-")</f>
        <v>0.36109154360681167</v>
      </c>
      <c r="I36" s="21">
        <f>I37+I54+I55</f>
        <v>0</v>
      </c>
      <c r="J36" s="23">
        <f>J37+J54+J55</f>
        <v>0</v>
      </c>
      <c r="K36" s="18">
        <v>20000</v>
      </c>
      <c r="L36" s="3"/>
    </row>
    <row r="37" spans="1:12" s="32" customFormat="1" ht="14.1" customHeight="1">
      <c r="A37" s="52" t="s">
        <v>57</v>
      </c>
      <c r="B37" s="53">
        <f>B38+B39+B40+B47+B52</f>
        <v>1207954</v>
      </c>
      <c r="C37" s="53">
        <f>C38+C39+C40+C47+C52</f>
        <v>360171</v>
      </c>
      <c r="D37" s="54">
        <f t="shared" si="3"/>
        <v>0.29816615533372959</v>
      </c>
      <c r="E37" s="53">
        <f>E38+E39+E40+E47+E52</f>
        <v>224511</v>
      </c>
      <c r="F37" s="53">
        <f>F38+F39+F40+F47+F52</f>
        <v>358011</v>
      </c>
      <c r="G37" s="54">
        <f t="shared" si="4"/>
        <v>0.9940028486468927</v>
      </c>
      <c r="H37" s="54">
        <f>IF(F37&lt;&gt;0,IFERROR(F37/B37,"-"),"-")</f>
        <v>0.29637800777181911</v>
      </c>
      <c r="I37" s="53">
        <f>I38+I39+I40+I47+I52</f>
        <v>0</v>
      </c>
      <c r="J37" s="55">
        <f>J38+J39+J40+J47+J52</f>
        <v>0</v>
      </c>
      <c r="K37" s="18" t="s">
        <v>18</v>
      </c>
      <c r="L37" s="3"/>
    </row>
    <row r="38" spans="1:12" ht="14.1" customHeight="1">
      <c r="A38" s="33" t="s">
        <v>58</v>
      </c>
      <c r="B38" s="50">
        <v>7182</v>
      </c>
      <c r="C38" s="50">
        <v>8601</v>
      </c>
      <c r="D38" s="48">
        <f t="shared" si="3"/>
        <v>1.1975772765246449</v>
      </c>
      <c r="E38" s="50">
        <v>6537</v>
      </c>
      <c r="F38" s="50">
        <v>8601</v>
      </c>
      <c r="G38" s="48">
        <f t="shared" si="4"/>
        <v>1</v>
      </c>
      <c r="H38" s="35">
        <f t="shared" ref="H38:H53" si="6">IF(F38&lt;&gt;0,IFERROR(F38/B38,"-"),"-")</f>
        <v>1.1975772765246449</v>
      </c>
      <c r="I38" s="49"/>
      <c r="J38" s="51"/>
      <c r="K38" s="38">
        <v>20215</v>
      </c>
      <c r="L38" s="3"/>
    </row>
    <row r="39" spans="1:12" s="56" customFormat="1" ht="14.1" customHeight="1">
      <c r="A39" s="33" t="s">
        <v>59</v>
      </c>
      <c r="B39" s="50">
        <v>0</v>
      </c>
      <c r="C39" s="50">
        <v>7365</v>
      </c>
      <c r="D39" s="48" t="str">
        <f t="shared" si="3"/>
        <v>-</v>
      </c>
      <c r="E39" s="50">
        <v>7365</v>
      </c>
      <c r="F39" s="50">
        <v>7365</v>
      </c>
      <c r="G39" s="48">
        <f t="shared" si="4"/>
        <v>1</v>
      </c>
      <c r="H39" s="35" t="str">
        <f t="shared" si="6"/>
        <v>-</v>
      </c>
      <c r="I39" s="49"/>
      <c r="J39" s="51"/>
      <c r="K39" s="38">
        <v>20219</v>
      </c>
      <c r="L39" s="3"/>
    </row>
    <row r="40" spans="1:12" s="56" customFormat="1" ht="14.1" customHeight="1">
      <c r="A40" s="33" t="s">
        <v>60</v>
      </c>
      <c r="B40" s="50">
        <v>1020707</v>
      </c>
      <c r="C40" s="50">
        <v>52989</v>
      </c>
      <c r="D40" s="48">
        <f t="shared" si="3"/>
        <v>5.191401646113919E-2</v>
      </c>
      <c r="E40" s="50">
        <f>E41+E44</f>
        <v>36865</v>
      </c>
      <c r="F40" s="50">
        <f>F41+F44</f>
        <v>50829</v>
      </c>
      <c r="G40" s="48">
        <f t="shared" si="4"/>
        <v>0.95923682273679445</v>
      </c>
      <c r="H40" s="35">
        <f t="shared" si="6"/>
        <v>4.9797836205688804E-2</v>
      </c>
      <c r="I40" s="49"/>
      <c r="J40" s="49"/>
      <c r="K40" s="38">
        <v>20220</v>
      </c>
      <c r="L40" s="3"/>
    </row>
    <row r="41" spans="1:12" ht="14.1" customHeight="1">
      <c r="A41" s="33" t="s">
        <v>61</v>
      </c>
      <c r="B41" s="49">
        <v>112627</v>
      </c>
      <c r="C41" s="49">
        <v>52989</v>
      </c>
      <c r="D41" s="48">
        <f t="shared" si="3"/>
        <v>0.47048221119269801</v>
      </c>
      <c r="E41" s="49">
        <v>36865</v>
      </c>
      <c r="F41" s="49">
        <v>50829</v>
      </c>
      <c r="G41" s="48">
        <f t="shared" si="4"/>
        <v>0.95923682273679445</v>
      </c>
      <c r="H41" s="35">
        <f t="shared" si="6"/>
        <v>0.45130386141866513</v>
      </c>
      <c r="I41" s="49"/>
      <c r="J41" s="49"/>
      <c r="K41" s="38" t="s">
        <v>25</v>
      </c>
      <c r="L41" s="3"/>
    </row>
    <row r="42" spans="1:12" ht="14.1" customHeight="1">
      <c r="A42" s="25" t="s">
        <v>62</v>
      </c>
      <c r="B42" s="49"/>
      <c r="C42" s="49"/>
      <c r="D42" s="48" t="str">
        <f t="shared" si="3"/>
        <v>-</v>
      </c>
      <c r="E42" s="49"/>
      <c r="F42" s="49"/>
      <c r="G42" s="48" t="str">
        <f t="shared" si="4"/>
        <v>-</v>
      </c>
      <c r="H42" s="35" t="str">
        <f t="shared" si="6"/>
        <v>-</v>
      </c>
      <c r="I42" s="49"/>
      <c r="J42" s="49"/>
      <c r="K42" s="38" t="s">
        <v>25</v>
      </c>
      <c r="L42" s="3"/>
    </row>
    <row r="43" spans="1:12" ht="14.1" customHeight="1">
      <c r="A43" s="25" t="s">
        <v>63</v>
      </c>
      <c r="B43" s="49">
        <v>112627</v>
      </c>
      <c r="C43" s="49">
        <v>52989</v>
      </c>
      <c r="D43" s="48"/>
      <c r="E43" s="49">
        <v>36865</v>
      </c>
      <c r="F43" s="49">
        <f>49380+1449</f>
        <v>50829</v>
      </c>
      <c r="G43" s="48"/>
      <c r="H43" s="35">
        <f t="shared" si="6"/>
        <v>0.45130386141866513</v>
      </c>
      <c r="I43" s="49"/>
      <c r="J43" s="49"/>
      <c r="K43" s="38" t="s">
        <v>25</v>
      </c>
      <c r="L43" s="3"/>
    </row>
    <row r="44" spans="1:12" ht="14.1" customHeight="1">
      <c r="A44" s="33" t="s">
        <v>64</v>
      </c>
      <c r="B44" s="49">
        <v>908080</v>
      </c>
      <c r="C44" s="49"/>
      <c r="D44" s="48" t="str">
        <f>IF(C44&lt;&gt;0,IFERROR(C44/B44,"-"),"-")</f>
        <v>-</v>
      </c>
      <c r="E44" s="49"/>
      <c r="F44" s="49"/>
      <c r="G44" s="48" t="str">
        <f>IF(F44&lt;&gt;0,IFERROR(F44/C44,"-"),"-")</f>
        <v>-</v>
      </c>
      <c r="H44" s="35" t="str">
        <f t="shared" si="6"/>
        <v>-</v>
      </c>
      <c r="I44" s="49"/>
      <c r="J44" s="49"/>
      <c r="K44" s="38" t="s">
        <v>25</v>
      </c>
      <c r="L44" s="3"/>
    </row>
    <row r="45" spans="1:12" ht="14.1" customHeight="1">
      <c r="A45" s="25" t="s">
        <v>62</v>
      </c>
      <c r="B45" s="49"/>
      <c r="C45" s="49"/>
      <c r="D45" s="48" t="str">
        <f>IF(C45&lt;&gt;0,IFERROR(C45/B45,"-"),"-")</f>
        <v>-</v>
      </c>
      <c r="E45" s="49"/>
      <c r="F45" s="49"/>
      <c r="G45" s="48" t="str">
        <f>IF(F45&lt;&gt;0,IFERROR(F45/C45,"-"),"-")</f>
        <v>-</v>
      </c>
      <c r="H45" s="35" t="str">
        <f t="shared" si="6"/>
        <v>-</v>
      </c>
      <c r="I45" s="49"/>
      <c r="J45" s="49"/>
      <c r="K45" s="38" t="s">
        <v>25</v>
      </c>
      <c r="L45" s="3"/>
    </row>
    <row r="46" spans="1:12" ht="14.1" customHeight="1">
      <c r="A46" s="25" t="s">
        <v>63</v>
      </c>
      <c r="B46" s="49">
        <v>908080</v>
      </c>
      <c r="C46" s="49"/>
      <c r="D46" s="48"/>
      <c r="E46" s="49"/>
      <c r="F46" s="49"/>
      <c r="G46" s="48"/>
      <c r="H46" s="35" t="str">
        <f t="shared" si="6"/>
        <v>-</v>
      </c>
      <c r="I46" s="49"/>
      <c r="J46" s="49"/>
      <c r="K46" s="38" t="s">
        <v>25</v>
      </c>
      <c r="L46" s="3"/>
    </row>
    <row r="47" spans="1:12" ht="14.1" customHeight="1">
      <c r="A47" s="33" t="s">
        <v>65</v>
      </c>
      <c r="B47" s="57">
        <f>B48+B49+B50+B51</f>
        <v>159361</v>
      </c>
      <c r="C47" s="57">
        <f>C48+C49+C50+C51</f>
        <v>173379</v>
      </c>
      <c r="D47" s="48">
        <f t="shared" ref="D47:D52" si="7">IF(C47&lt;&gt;0,IFERROR(C47/B47,"-"),"-")</f>
        <v>1.0879638054480081</v>
      </c>
      <c r="E47" s="57">
        <f>E48+E49+E50+E51</f>
        <v>123394</v>
      </c>
      <c r="F47" s="57">
        <f>F48+F49+F50+F51</f>
        <v>173379</v>
      </c>
      <c r="G47" s="48">
        <f t="shared" ref="G47:G71" si="8">IF(F47&lt;&gt;0,IFERROR(F47/C47,"-"),"-")</f>
        <v>1</v>
      </c>
      <c r="H47" s="35">
        <f t="shared" si="6"/>
        <v>1.0879638054480081</v>
      </c>
      <c r="I47" s="57">
        <f>I48+I49+I50+I51</f>
        <v>0</v>
      </c>
      <c r="J47" s="58">
        <f>J48+J49+J50+J51</f>
        <v>0</v>
      </c>
      <c r="K47" s="38">
        <v>20230</v>
      </c>
      <c r="L47" s="3"/>
    </row>
    <row r="48" spans="1:12" s="24" customFormat="1" ht="13.5" customHeight="1">
      <c r="A48" s="25" t="s">
        <v>66</v>
      </c>
      <c r="B48" s="49">
        <v>141764</v>
      </c>
      <c r="C48" s="49">
        <v>154864</v>
      </c>
      <c r="D48" s="48">
        <f t="shared" si="7"/>
        <v>1.0924070991224852</v>
      </c>
      <c r="E48" s="49">
        <v>109269</v>
      </c>
      <c r="F48" s="49">
        <v>154864</v>
      </c>
      <c r="G48" s="48">
        <f t="shared" si="8"/>
        <v>1</v>
      </c>
      <c r="H48" s="35">
        <f t="shared" si="6"/>
        <v>1.0924070991224852</v>
      </c>
      <c r="I48" s="49"/>
      <c r="J48" s="51"/>
      <c r="K48" s="59" t="s">
        <v>67</v>
      </c>
      <c r="L48" s="3"/>
    </row>
    <row r="49" spans="1:12" s="24" customFormat="1" ht="14.1" customHeight="1">
      <c r="A49" s="25" t="s">
        <v>68</v>
      </c>
      <c r="B49" s="49"/>
      <c r="C49" s="49"/>
      <c r="D49" s="48" t="str">
        <f t="shared" si="7"/>
        <v>-</v>
      </c>
      <c r="E49" s="49"/>
      <c r="F49" s="49"/>
      <c r="G49" s="48" t="str">
        <f t="shared" si="8"/>
        <v>-</v>
      </c>
      <c r="H49" s="35" t="str">
        <f t="shared" si="6"/>
        <v>-</v>
      </c>
      <c r="I49" s="49"/>
      <c r="J49" s="51"/>
      <c r="K49" s="59" t="s">
        <v>69</v>
      </c>
      <c r="L49" s="3"/>
    </row>
    <row r="50" spans="1:12" s="24" customFormat="1" ht="14.1" customHeight="1">
      <c r="A50" s="25" t="s">
        <v>70</v>
      </c>
      <c r="B50" s="49">
        <v>15285</v>
      </c>
      <c r="C50" s="49">
        <v>15583</v>
      </c>
      <c r="D50" s="48">
        <f t="shared" si="7"/>
        <v>1.0194962381419692</v>
      </c>
      <c r="E50" s="49">
        <v>12455</v>
      </c>
      <c r="F50" s="49">
        <v>15583</v>
      </c>
      <c r="G50" s="48">
        <f t="shared" si="8"/>
        <v>1</v>
      </c>
      <c r="H50" s="35">
        <f t="shared" si="6"/>
        <v>1.0194962381419692</v>
      </c>
      <c r="I50" s="49"/>
      <c r="J50" s="51"/>
      <c r="K50" s="59" t="s">
        <v>71</v>
      </c>
      <c r="L50" s="3"/>
    </row>
    <row r="51" spans="1:12" s="24" customFormat="1" ht="14.1" customHeight="1">
      <c r="A51" s="25" t="s">
        <v>72</v>
      </c>
      <c r="B51" s="49">
        <v>2312</v>
      </c>
      <c r="C51" s="49">
        <v>2932</v>
      </c>
      <c r="D51" s="48">
        <f t="shared" si="7"/>
        <v>1.2681660899653979</v>
      </c>
      <c r="E51" s="49">
        <v>1670</v>
      </c>
      <c r="F51" s="49">
        <v>2932</v>
      </c>
      <c r="G51" s="48">
        <f t="shared" si="8"/>
        <v>1</v>
      </c>
      <c r="H51" s="35">
        <f t="shared" si="6"/>
        <v>1.2681660899653979</v>
      </c>
      <c r="I51" s="49"/>
      <c r="J51" s="51"/>
      <c r="K51" s="60" t="s">
        <v>73</v>
      </c>
      <c r="L51" s="3"/>
    </row>
    <row r="52" spans="1:12" ht="14.1" customHeight="1">
      <c r="A52" s="33" t="s">
        <v>74</v>
      </c>
      <c r="B52" s="50">
        <v>20704</v>
      </c>
      <c r="C52" s="50">
        <v>117837</v>
      </c>
      <c r="D52" s="48">
        <f t="shared" si="7"/>
        <v>5.6915088871715609</v>
      </c>
      <c r="E52" s="50">
        <v>50350</v>
      </c>
      <c r="F52" s="50">
        <v>117837</v>
      </c>
      <c r="G52" s="48">
        <f t="shared" si="8"/>
        <v>1</v>
      </c>
      <c r="H52" s="35">
        <f t="shared" si="6"/>
        <v>5.6915088871715609</v>
      </c>
      <c r="I52" s="49"/>
      <c r="J52" s="51"/>
      <c r="K52" s="38">
        <v>20240</v>
      </c>
      <c r="L52" s="3"/>
    </row>
    <row r="53" spans="1:12" ht="14.1" customHeight="1">
      <c r="A53" s="25" t="s">
        <v>62</v>
      </c>
      <c r="B53" s="49"/>
      <c r="C53" s="49"/>
      <c r="D53" s="48"/>
      <c r="E53" s="49"/>
      <c r="F53" s="49"/>
      <c r="G53" s="48" t="str">
        <f t="shared" si="8"/>
        <v>-</v>
      </c>
      <c r="H53" s="35" t="str">
        <f t="shared" si="6"/>
        <v>-</v>
      </c>
      <c r="I53" s="49"/>
      <c r="J53" s="51"/>
      <c r="K53" s="38" t="s">
        <v>25</v>
      </c>
      <c r="L53" s="3"/>
    </row>
    <row r="54" spans="1:12" s="24" customFormat="1" ht="14.1" customHeight="1">
      <c r="A54" s="52" t="s">
        <v>75</v>
      </c>
      <c r="B54" s="50">
        <v>30510</v>
      </c>
      <c r="C54" s="50">
        <v>89347</v>
      </c>
      <c r="D54" s="54">
        <f t="shared" ref="D54:D71" si="9">IF(C54&lt;&gt;0,IFERROR(C54/B54,"-"),"-")</f>
        <v>2.9284496886266798</v>
      </c>
      <c r="E54" s="50">
        <v>24524</v>
      </c>
      <c r="F54" s="50">
        <v>89347</v>
      </c>
      <c r="G54" s="54">
        <f t="shared" si="8"/>
        <v>1</v>
      </c>
      <c r="H54" s="54">
        <f t="shared" ref="H54:H71" si="10">IF(F54&lt;&gt;0,IFERROR(F54/E54,"-"),"-")</f>
        <v>3.6432474310879139</v>
      </c>
      <c r="I54" s="49"/>
      <c r="J54" s="51"/>
      <c r="K54" s="45" t="s">
        <v>76</v>
      </c>
      <c r="L54" s="3"/>
    </row>
    <row r="55" spans="1:12" s="24" customFormat="1" ht="14.1" customHeight="1">
      <c r="A55" s="52" t="s">
        <v>77</v>
      </c>
      <c r="B55" s="50">
        <v>-584</v>
      </c>
      <c r="C55" s="50">
        <v>0</v>
      </c>
      <c r="D55" s="54" t="str">
        <f t="shared" si="9"/>
        <v>-</v>
      </c>
      <c r="E55" s="50">
        <v>-370</v>
      </c>
      <c r="F55" s="50">
        <f>-870+500</f>
        <v>-370</v>
      </c>
      <c r="G55" s="54" t="str">
        <f t="shared" si="8"/>
        <v>-</v>
      </c>
      <c r="H55" s="54">
        <f t="shared" si="10"/>
        <v>1</v>
      </c>
      <c r="I55" s="49"/>
      <c r="J55" s="51"/>
      <c r="K55" s="45" t="s">
        <v>78</v>
      </c>
      <c r="L55" s="3"/>
    </row>
    <row r="56" spans="1:12" s="19" customFormat="1" ht="15.6" customHeight="1">
      <c r="A56" s="61" t="s">
        <v>79</v>
      </c>
      <c r="B56" s="159">
        <f>SUM(B57:B61)+B66+B67</f>
        <v>1626213</v>
      </c>
      <c r="C56" s="159">
        <f>SUM(C57:C61)+C66+C67</f>
        <v>888436</v>
      </c>
      <c r="D56" s="160">
        <f t="shared" si="9"/>
        <v>0.54632203776504062</v>
      </c>
      <c r="E56" s="159">
        <f>SUM(E57:E61)+E66+E67</f>
        <v>513145</v>
      </c>
      <c r="F56" s="159">
        <f>SUM(F57:F61)+F66+F67</f>
        <v>847147</v>
      </c>
      <c r="G56" s="160">
        <f t="shared" si="8"/>
        <v>0.95352619659716631</v>
      </c>
      <c r="H56" s="160">
        <f>IF(F56&lt;&gt;0,IFERROR(F56/B56,"-"),"-")</f>
        <v>0.52093237478731258</v>
      </c>
      <c r="I56" s="159">
        <f>SUM(I57:I61)+I66+I67</f>
        <v>0</v>
      </c>
      <c r="J56" s="161">
        <f>SUM(J57:J61)+J66+J67</f>
        <v>0</v>
      </c>
      <c r="K56" s="38" t="s">
        <v>80</v>
      </c>
      <c r="L56" s="3"/>
    </row>
    <row r="57" spans="1:12" s="19" customFormat="1" ht="15.6" customHeight="1">
      <c r="A57" s="65" t="s">
        <v>81</v>
      </c>
      <c r="B57" s="49"/>
      <c r="C57" s="49">
        <v>0</v>
      </c>
      <c r="D57" s="63" t="str">
        <f t="shared" si="9"/>
        <v>-</v>
      </c>
      <c r="E57" s="49"/>
      <c r="F57" s="49">
        <f>Лист2!K6</f>
        <v>0</v>
      </c>
      <c r="G57" s="63" t="str">
        <f t="shared" si="8"/>
        <v>-</v>
      </c>
      <c r="H57" s="63" t="str">
        <f>IF(F57&lt;&gt;0,IFERROR(F57/B57,"-"),"-")</f>
        <v>-</v>
      </c>
      <c r="I57" s="49"/>
      <c r="J57" s="51"/>
      <c r="K57" s="38" t="s">
        <v>25</v>
      </c>
      <c r="L57" s="3"/>
    </row>
    <row r="58" spans="1:12" s="19" customFormat="1" ht="15.6" customHeight="1">
      <c r="A58" s="65" t="s">
        <v>82</v>
      </c>
      <c r="B58" s="49">
        <v>159017</v>
      </c>
      <c r="C58" s="49">
        <v>173379</v>
      </c>
      <c r="D58" s="63">
        <f t="shared" si="9"/>
        <v>1.0903173874491408</v>
      </c>
      <c r="E58" s="49">
        <v>123775</v>
      </c>
      <c r="F58" s="49">
        <v>50829</v>
      </c>
      <c r="G58" s="63">
        <f t="shared" si="8"/>
        <v>0.2931669925423494</v>
      </c>
      <c r="H58" s="63">
        <f t="shared" ref="H58:H61" si="11">IF(F58&lt;&gt;0,IFERROR(F58/B58,"-"),"-")</f>
        <v>0.31964506939509613</v>
      </c>
      <c r="I58" s="49"/>
      <c r="J58" s="51"/>
      <c r="K58" s="38" t="s">
        <v>25</v>
      </c>
      <c r="L58" s="3"/>
    </row>
    <row r="59" spans="1:12" s="19" customFormat="1" ht="15.6" customHeight="1">
      <c r="A59" s="65" t="s">
        <v>83</v>
      </c>
      <c r="B59" s="49">
        <v>1020707</v>
      </c>
      <c r="C59" s="49">
        <v>52989</v>
      </c>
      <c r="D59" s="63">
        <f t="shared" si="9"/>
        <v>5.191401646113919E-2</v>
      </c>
      <c r="E59" s="49">
        <v>36653</v>
      </c>
      <c r="F59" s="49">
        <v>173379</v>
      </c>
      <c r="G59" s="63">
        <f t="shared" si="8"/>
        <v>3.2719809771839437</v>
      </c>
      <c r="H59" s="63">
        <f t="shared" si="11"/>
        <v>0.16986167431006155</v>
      </c>
      <c r="I59" s="49"/>
      <c r="J59" s="51"/>
      <c r="K59" s="38" t="s">
        <v>25</v>
      </c>
      <c r="L59" s="3"/>
    </row>
    <row r="60" spans="1:12" s="19" customFormat="1" ht="15.6" customHeight="1">
      <c r="A60" s="65" t="s">
        <v>84</v>
      </c>
      <c r="B60" s="49">
        <f>Лист2!D9</f>
        <v>0</v>
      </c>
      <c r="C60" s="49">
        <f>Лист2!F9</f>
        <v>0</v>
      </c>
      <c r="D60" s="63" t="str">
        <f t="shared" si="9"/>
        <v>-</v>
      </c>
      <c r="E60" s="49"/>
      <c r="F60" s="49"/>
      <c r="G60" s="63" t="str">
        <f t="shared" si="8"/>
        <v>-</v>
      </c>
      <c r="H60" s="63" t="str">
        <f t="shared" si="10"/>
        <v>-</v>
      </c>
      <c r="I60" s="49"/>
      <c r="J60" s="51"/>
      <c r="K60" s="38" t="s">
        <v>25</v>
      </c>
      <c r="L60" s="3"/>
    </row>
    <row r="61" spans="1:12" s="19" customFormat="1" ht="15.6" customHeight="1">
      <c r="A61" s="65" t="s">
        <v>85</v>
      </c>
      <c r="B61" s="49">
        <v>443182</v>
      </c>
      <c r="C61" s="49">
        <v>544231</v>
      </c>
      <c r="D61" s="63">
        <f t="shared" si="9"/>
        <v>1.2280079064582947</v>
      </c>
      <c r="E61" s="49">
        <v>315322</v>
      </c>
      <c r="F61" s="49">
        <f>Лист2!K10</f>
        <v>505102</v>
      </c>
      <c r="G61" s="63">
        <f t="shared" si="8"/>
        <v>0.92810222129941145</v>
      </c>
      <c r="H61" s="63">
        <f t="shared" si="11"/>
        <v>1.1397168657571832</v>
      </c>
      <c r="I61" s="49"/>
      <c r="J61" s="51"/>
      <c r="K61" s="38" t="s">
        <v>25</v>
      </c>
      <c r="L61" s="3"/>
    </row>
    <row r="62" spans="1:12" s="19" customFormat="1" ht="15.6" customHeight="1">
      <c r="A62" s="66" t="s">
        <v>86</v>
      </c>
      <c r="B62" s="49"/>
      <c r="C62" s="49"/>
      <c r="D62" s="63" t="str">
        <f t="shared" si="9"/>
        <v>-</v>
      </c>
      <c r="E62" s="49"/>
      <c r="F62" s="49"/>
      <c r="G62" s="63" t="str">
        <f t="shared" si="8"/>
        <v>-</v>
      </c>
      <c r="H62" s="63" t="str">
        <f t="shared" si="10"/>
        <v>-</v>
      </c>
      <c r="I62" s="49"/>
      <c r="J62" s="51"/>
      <c r="K62" s="38" t="s">
        <v>25</v>
      </c>
      <c r="L62" s="3"/>
    </row>
    <row r="63" spans="1:12" s="19" customFormat="1" ht="15.6" customHeight="1">
      <c r="A63" s="66" t="s">
        <v>87</v>
      </c>
      <c r="B63" s="49"/>
      <c r="C63" s="49"/>
      <c r="D63" s="63" t="str">
        <f t="shared" si="9"/>
        <v>-</v>
      </c>
      <c r="E63" s="49"/>
      <c r="F63" s="49"/>
      <c r="G63" s="63" t="str">
        <f t="shared" si="8"/>
        <v>-</v>
      </c>
      <c r="H63" s="63" t="str">
        <f t="shared" si="10"/>
        <v>-</v>
      </c>
      <c r="I63" s="49"/>
      <c r="J63" s="51"/>
      <c r="K63" s="38" t="s">
        <v>25</v>
      </c>
      <c r="L63" s="3"/>
    </row>
    <row r="64" spans="1:12" s="19" customFormat="1" ht="15.6" customHeight="1">
      <c r="A64" s="66" t="s">
        <v>88</v>
      </c>
      <c r="B64" s="49"/>
      <c r="C64" s="49"/>
      <c r="D64" s="63" t="str">
        <f t="shared" si="9"/>
        <v>-</v>
      </c>
      <c r="E64" s="49"/>
      <c r="F64" s="49"/>
      <c r="G64" s="63" t="str">
        <f t="shared" si="8"/>
        <v>-</v>
      </c>
      <c r="H64" s="63" t="str">
        <f t="shared" si="10"/>
        <v>-</v>
      </c>
      <c r="I64" s="49"/>
      <c r="J64" s="51"/>
      <c r="K64" s="38" t="s">
        <v>25</v>
      </c>
      <c r="L64" s="3"/>
    </row>
    <row r="65" spans="1:12" s="19" customFormat="1" ht="15.6" customHeight="1">
      <c r="A65" s="66" t="s">
        <v>89</v>
      </c>
      <c r="B65" s="49"/>
      <c r="C65" s="49"/>
      <c r="D65" s="63" t="str">
        <f t="shared" si="9"/>
        <v>-</v>
      </c>
      <c r="E65" s="49"/>
      <c r="F65" s="49"/>
      <c r="G65" s="63" t="str">
        <f t="shared" si="8"/>
        <v>-</v>
      </c>
      <c r="H65" s="63" t="str">
        <f t="shared" si="10"/>
        <v>-</v>
      </c>
      <c r="I65" s="49"/>
      <c r="J65" s="51"/>
      <c r="K65" s="38" t="s">
        <v>25</v>
      </c>
      <c r="L65" s="3"/>
    </row>
    <row r="66" spans="1:12" s="19" customFormat="1" ht="15.6" customHeight="1">
      <c r="A66" s="65" t="s">
        <v>90</v>
      </c>
      <c r="B66" s="49">
        <f>3281+26</f>
        <v>3307</v>
      </c>
      <c r="C66" s="49">
        <v>117837</v>
      </c>
      <c r="D66" s="63">
        <f t="shared" si="9"/>
        <v>35.632597520411252</v>
      </c>
      <c r="E66" s="49">
        <v>37395</v>
      </c>
      <c r="F66" s="49">
        <v>117837</v>
      </c>
      <c r="G66" s="63">
        <f t="shared" si="8"/>
        <v>1</v>
      </c>
      <c r="H66" s="63">
        <f t="shared" ref="H66:H67" si="12">IF(F66&lt;&gt;0,IFERROR(F66/B66,"-"),"-")</f>
        <v>35.632597520411252</v>
      </c>
      <c r="I66" s="49"/>
      <c r="J66" s="51"/>
      <c r="K66" s="38" t="s">
        <v>25</v>
      </c>
      <c r="L66" s="3"/>
    </row>
    <row r="67" spans="1:12" s="19" customFormat="1" ht="15.6" customHeight="1">
      <c r="A67" s="65" t="s">
        <v>91</v>
      </c>
      <c r="B67" s="49"/>
      <c r="C67" s="49"/>
      <c r="D67" s="63" t="str">
        <f t="shared" si="9"/>
        <v>-</v>
      </c>
      <c r="E67" s="49"/>
      <c r="F67" s="49">
        <f>Лист2!K12</f>
        <v>0</v>
      </c>
      <c r="G67" s="63" t="str">
        <f t="shared" si="8"/>
        <v>-</v>
      </c>
      <c r="H67" s="63" t="str">
        <f t="shared" si="12"/>
        <v>-</v>
      </c>
      <c r="I67" s="49"/>
      <c r="J67" s="51"/>
      <c r="K67" s="38" t="s">
        <v>25</v>
      </c>
      <c r="L67" s="3"/>
    </row>
    <row r="68" spans="1:12" s="19" customFormat="1" ht="15.6" customHeight="1">
      <c r="A68" s="67" t="s">
        <v>92</v>
      </c>
      <c r="B68" s="62">
        <f>SUM(B69:B71,B73:B76)</f>
        <v>944255</v>
      </c>
      <c r="C68" s="62">
        <f>SUM(C69:C71,C73:C76)</f>
        <v>2761</v>
      </c>
      <c r="D68" s="63">
        <f t="shared" si="9"/>
        <v>2.9239982843617457E-3</v>
      </c>
      <c r="E68" s="62">
        <f>SUM(E69:E71,E73:E76)</f>
        <v>370</v>
      </c>
      <c r="F68" s="62">
        <f>SUM(F69:F71,F73:F76)</f>
        <v>0</v>
      </c>
      <c r="G68" s="63" t="str">
        <f t="shared" si="8"/>
        <v>-</v>
      </c>
      <c r="H68" s="63" t="str">
        <f t="shared" si="10"/>
        <v>-</v>
      </c>
      <c r="I68" s="62">
        <f>SUM(I69:I71,I73:I76)</f>
        <v>0</v>
      </c>
      <c r="J68" s="64">
        <f>SUM(J69:J71,J73:J76)</f>
        <v>0</v>
      </c>
      <c r="K68" s="18" t="s">
        <v>93</v>
      </c>
      <c r="L68" s="3"/>
    </row>
    <row r="69" spans="1:12" s="19" customFormat="1" ht="15.6" customHeight="1">
      <c r="A69" s="65" t="s">
        <v>81</v>
      </c>
      <c r="B69" s="49"/>
      <c r="C69" s="49"/>
      <c r="D69" s="63" t="str">
        <f t="shared" si="9"/>
        <v>-</v>
      </c>
      <c r="E69" s="49"/>
      <c r="F69" s="49"/>
      <c r="G69" s="63" t="str">
        <f t="shared" si="8"/>
        <v>-</v>
      </c>
      <c r="H69" s="63" t="str">
        <f t="shared" si="10"/>
        <v>-</v>
      </c>
      <c r="I69" s="49"/>
      <c r="J69" s="51"/>
      <c r="K69" s="38" t="s">
        <v>25</v>
      </c>
      <c r="L69" s="3"/>
    </row>
    <row r="70" spans="1:12" s="19" customFormat="1" ht="15.6" customHeight="1">
      <c r="A70" s="65" t="s">
        <v>82</v>
      </c>
      <c r="B70" s="49"/>
      <c r="C70" s="49"/>
      <c r="D70" s="63" t="str">
        <f t="shared" si="9"/>
        <v>-</v>
      </c>
      <c r="E70" s="49"/>
      <c r="F70" s="49"/>
      <c r="G70" s="63" t="str">
        <f t="shared" si="8"/>
        <v>-</v>
      </c>
      <c r="H70" s="63" t="str">
        <f t="shared" si="10"/>
        <v>-</v>
      </c>
      <c r="I70" s="49"/>
      <c r="J70" s="51"/>
      <c r="K70" s="38" t="s">
        <v>25</v>
      </c>
      <c r="L70" s="3"/>
    </row>
    <row r="71" spans="1:12" s="19" customFormat="1" ht="15.6" customHeight="1">
      <c r="A71" s="65" t="s">
        <v>83</v>
      </c>
      <c r="B71" s="49">
        <v>928606</v>
      </c>
      <c r="C71" s="49"/>
      <c r="D71" s="63" t="str">
        <f t="shared" si="9"/>
        <v>-</v>
      </c>
      <c r="E71" s="49"/>
      <c r="F71" s="49"/>
      <c r="G71" s="63" t="str">
        <f t="shared" si="8"/>
        <v>-</v>
      </c>
      <c r="H71" s="63" t="str">
        <f t="shared" si="10"/>
        <v>-</v>
      </c>
      <c r="I71" s="49"/>
      <c r="J71" s="51"/>
      <c r="K71" s="38" t="s">
        <v>25</v>
      </c>
      <c r="L71" s="3"/>
    </row>
    <row r="72" spans="1:12" s="19" customFormat="1" ht="15.6" customHeight="1">
      <c r="A72" s="65" t="s">
        <v>94</v>
      </c>
      <c r="B72" s="68">
        <f>IF((B70+B71+B74)&lt;&gt;0,IFERROR(B71/(B70+B71+B74),0),0)</f>
        <v>0.98342714626875161</v>
      </c>
      <c r="C72" s="68">
        <f>IF((C70+C71+C74)&lt;&gt;0,IFERROR(C71/(C70+C71+C74),0),0)</f>
        <v>0</v>
      </c>
      <c r="D72" s="63"/>
      <c r="E72" s="68">
        <f>IF((E70+E71+E74)&lt;&gt;0,IFERROR(E71/(E70+E71+E74),0),0)</f>
        <v>0</v>
      </c>
      <c r="F72" s="68">
        <f>IF((F70+F71+F74)&lt;&gt;0,IFERROR(F71/(F70+F71+F74),0),0)</f>
        <v>0</v>
      </c>
      <c r="G72" s="63"/>
      <c r="H72" s="63"/>
      <c r="I72" s="68">
        <f>IF((I70+I71+I74)&lt;&gt;0,IFERROR(I71/(I70+I71+I74),0),0)</f>
        <v>0</v>
      </c>
      <c r="J72" s="68">
        <f>IF((J70+J71+J74)&lt;&gt;0,IFERROR(J71/(J70+J71+J74),0),0)</f>
        <v>0</v>
      </c>
      <c r="K72" s="18" t="s">
        <v>18</v>
      </c>
      <c r="L72" s="5"/>
    </row>
    <row r="73" spans="1:12" s="19" customFormat="1" ht="15.6" customHeight="1">
      <c r="A73" s="65" t="s">
        <v>84</v>
      </c>
      <c r="B73" s="49"/>
      <c r="C73" s="49"/>
      <c r="D73" s="63" t="str">
        <f t="shared" ref="D73:D83" si="13">IF(C73&lt;&gt;0,IFERROR(C73/B73,"-"),"-")</f>
        <v>-</v>
      </c>
      <c r="E73" s="49"/>
      <c r="F73" s="49"/>
      <c r="G73" s="63" t="str">
        <f t="shared" ref="G73:G91" si="14">IF(F73&lt;&gt;0,IFERROR(F73/C73,"-"),"-")</f>
        <v>-</v>
      </c>
      <c r="H73" s="63" t="str">
        <f t="shared" ref="H73:H91" si="15">IF(F73&lt;&gt;0,IFERROR(F73/E73,"-"),"-")</f>
        <v>-</v>
      </c>
      <c r="I73" s="49"/>
      <c r="J73" s="51"/>
      <c r="K73" s="38" t="s">
        <v>25</v>
      </c>
      <c r="L73" s="3"/>
    </row>
    <row r="74" spans="1:12" s="19" customFormat="1" ht="15.6" customHeight="1">
      <c r="A74" s="65" t="s">
        <v>95</v>
      </c>
      <c r="B74" s="49">
        <v>15649</v>
      </c>
      <c r="C74" s="49">
        <v>2761</v>
      </c>
      <c r="D74" s="63">
        <f t="shared" si="13"/>
        <v>0.17643299891366859</v>
      </c>
      <c r="E74" s="49">
        <v>370</v>
      </c>
      <c r="F74" s="49"/>
      <c r="G74" s="63" t="str">
        <f t="shared" si="14"/>
        <v>-</v>
      </c>
      <c r="H74" s="63" t="str">
        <f t="shared" si="15"/>
        <v>-</v>
      </c>
      <c r="I74" s="49"/>
      <c r="J74" s="51"/>
      <c r="K74" s="38" t="s">
        <v>25</v>
      </c>
      <c r="L74" s="3"/>
    </row>
    <row r="75" spans="1:12" s="19" customFormat="1" ht="15.6" customHeight="1">
      <c r="A75" s="65" t="s">
        <v>90</v>
      </c>
      <c r="B75" s="49"/>
      <c r="C75" s="49"/>
      <c r="D75" s="63" t="str">
        <f t="shared" si="13"/>
        <v>-</v>
      </c>
      <c r="E75" s="49"/>
      <c r="F75" s="49"/>
      <c r="G75" s="63" t="str">
        <f t="shared" si="14"/>
        <v>-</v>
      </c>
      <c r="H75" s="63" t="str">
        <f t="shared" si="15"/>
        <v>-</v>
      </c>
      <c r="I75" s="49"/>
      <c r="J75" s="51"/>
      <c r="K75" s="38" t="s">
        <v>25</v>
      </c>
      <c r="L75" s="3"/>
    </row>
    <row r="76" spans="1:12" s="19" customFormat="1" ht="15.6" customHeight="1">
      <c r="A76" s="65" t="s">
        <v>91</v>
      </c>
      <c r="B76" s="49"/>
      <c r="C76" s="49"/>
      <c r="D76" s="63" t="str">
        <f t="shared" si="13"/>
        <v>-</v>
      </c>
      <c r="E76" s="49"/>
      <c r="F76" s="49"/>
      <c r="G76" s="63" t="str">
        <f t="shared" si="14"/>
        <v>-</v>
      </c>
      <c r="H76" s="63" t="str">
        <f t="shared" si="15"/>
        <v>-</v>
      </c>
      <c r="I76" s="49"/>
      <c r="J76" s="51"/>
      <c r="K76" s="38" t="s">
        <v>25</v>
      </c>
      <c r="L76" s="3"/>
    </row>
    <row r="77" spans="1:12" s="19" customFormat="1" ht="15.6" hidden="1" customHeight="1">
      <c r="A77" s="67" t="s">
        <v>96</v>
      </c>
      <c r="B77" s="49"/>
      <c r="C77" s="49"/>
      <c r="D77" s="63" t="str">
        <f t="shared" si="13"/>
        <v>-</v>
      </c>
      <c r="E77" s="49"/>
      <c r="F77" s="49"/>
      <c r="G77" s="63" t="str">
        <f t="shared" si="14"/>
        <v>-</v>
      </c>
      <c r="H77" s="63" t="str">
        <f t="shared" si="15"/>
        <v>-</v>
      </c>
      <c r="I77" s="49"/>
      <c r="J77" s="51"/>
      <c r="K77" s="38" t="s">
        <v>25</v>
      </c>
      <c r="L77" s="3"/>
    </row>
    <row r="78" spans="1:12" s="19" customFormat="1" ht="15.75" hidden="1" customHeight="1">
      <c r="A78" s="66" t="s">
        <v>97</v>
      </c>
      <c r="B78" s="49">
        <v>48712</v>
      </c>
      <c r="C78" s="49">
        <v>53567</v>
      </c>
      <c r="D78" s="63">
        <f t="shared" si="13"/>
        <v>1.0996674330760388</v>
      </c>
      <c r="E78" s="49">
        <v>35525</v>
      </c>
      <c r="F78" s="49">
        <v>51180</v>
      </c>
      <c r="G78" s="63">
        <f t="shared" si="14"/>
        <v>0.95543898295592433</v>
      </c>
      <c r="H78" s="63">
        <f t="shared" si="15"/>
        <v>1.4406755805770584</v>
      </c>
      <c r="I78" s="49"/>
      <c r="J78" s="51"/>
      <c r="K78" s="38" t="s">
        <v>25</v>
      </c>
      <c r="L78" s="3"/>
    </row>
    <row r="79" spans="1:12" s="19" customFormat="1" ht="15.6" hidden="1" customHeight="1">
      <c r="A79" s="66" t="s">
        <v>98</v>
      </c>
      <c r="B79" s="49">
        <v>35635</v>
      </c>
      <c r="C79" s="49">
        <v>38172</v>
      </c>
      <c r="D79" s="63">
        <f t="shared" si="13"/>
        <v>1.07119405079276</v>
      </c>
      <c r="E79" s="49">
        <v>26312</v>
      </c>
      <c r="F79" s="49">
        <v>36378</v>
      </c>
      <c r="G79" s="63">
        <f t="shared" si="14"/>
        <v>0.95300220056585982</v>
      </c>
      <c r="H79" s="63">
        <f t="shared" si="15"/>
        <v>1.3825630890848282</v>
      </c>
      <c r="I79" s="49"/>
      <c r="J79" s="51"/>
      <c r="K79" s="38" t="s">
        <v>25</v>
      </c>
      <c r="L79" s="3"/>
    </row>
    <row r="80" spans="1:12" s="19" customFormat="1" ht="15.6" hidden="1" customHeight="1">
      <c r="A80" s="65" t="s">
        <v>99</v>
      </c>
      <c r="B80" s="49">
        <v>60345</v>
      </c>
      <c r="C80" s="49">
        <v>60920</v>
      </c>
      <c r="D80" s="63">
        <f t="shared" si="13"/>
        <v>1.0095285442041595</v>
      </c>
      <c r="E80" s="49">
        <v>45690</v>
      </c>
      <c r="F80" s="49">
        <v>60345</v>
      </c>
      <c r="G80" s="63">
        <f t="shared" si="14"/>
        <v>0.99056139198949444</v>
      </c>
      <c r="H80" s="63">
        <f t="shared" si="15"/>
        <v>1.3207485226526592</v>
      </c>
      <c r="I80" s="49"/>
      <c r="J80" s="51"/>
      <c r="K80" s="38" t="s">
        <v>25</v>
      </c>
      <c r="L80" s="3"/>
    </row>
    <row r="81" spans="1:12" s="19" customFormat="1" ht="15.6" hidden="1" customHeight="1">
      <c r="A81" s="66" t="s">
        <v>100</v>
      </c>
      <c r="B81" s="62">
        <f>B80-B78</f>
        <v>11633</v>
      </c>
      <c r="C81" s="62">
        <f>C80-C78</f>
        <v>7353</v>
      </c>
      <c r="D81" s="63">
        <f t="shared" si="13"/>
        <v>0.63208114845697583</v>
      </c>
      <c r="E81" s="62">
        <f>E80-E78</f>
        <v>10165</v>
      </c>
      <c r="F81" s="62">
        <f>F80-F78</f>
        <v>9165</v>
      </c>
      <c r="G81" s="63">
        <f t="shared" si="14"/>
        <v>1.2464300285597716</v>
      </c>
      <c r="H81" s="63">
        <f t="shared" si="15"/>
        <v>0.90162321692080671</v>
      </c>
      <c r="I81" s="62">
        <f>I80-I78</f>
        <v>0</v>
      </c>
      <c r="J81" s="64">
        <f>J80-J78</f>
        <v>0</v>
      </c>
      <c r="K81" s="38" t="s">
        <v>18</v>
      </c>
      <c r="L81" s="3"/>
    </row>
    <row r="82" spans="1:12" s="19" customFormat="1" ht="15.6" hidden="1" customHeight="1">
      <c r="A82" s="65" t="s">
        <v>101</v>
      </c>
      <c r="B82" s="49">
        <v>51</v>
      </c>
      <c r="C82" s="49">
        <v>52</v>
      </c>
      <c r="D82" s="63">
        <f t="shared" si="13"/>
        <v>1.0196078431372548</v>
      </c>
      <c r="E82" s="49">
        <v>50</v>
      </c>
      <c r="F82" s="49">
        <v>51</v>
      </c>
      <c r="G82" s="63">
        <f t="shared" si="14"/>
        <v>0.98076923076923073</v>
      </c>
      <c r="H82" s="63">
        <f t="shared" si="15"/>
        <v>1.02</v>
      </c>
      <c r="I82" s="69"/>
      <c r="J82" s="70"/>
      <c r="K82" s="38" t="s">
        <v>25</v>
      </c>
      <c r="L82" s="5"/>
    </row>
    <row r="83" spans="1:12" s="19" customFormat="1" ht="15.6" hidden="1" customHeight="1">
      <c r="A83" s="65" t="s">
        <v>102</v>
      </c>
      <c r="B83" s="49">
        <v>45318</v>
      </c>
      <c r="C83" s="49">
        <v>40595</v>
      </c>
      <c r="D83" s="63">
        <f t="shared" si="13"/>
        <v>0.89578092590140779</v>
      </c>
      <c r="E83" s="49">
        <v>28857</v>
      </c>
      <c r="F83" s="49">
        <v>46257</v>
      </c>
      <c r="G83" s="63">
        <f t="shared" si="14"/>
        <v>1.1394753048404975</v>
      </c>
      <c r="H83" s="63">
        <f t="shared" si="15"/>
        <v>1.6029732820459508</v>
      </c>
      <c r="I83" s="69"/>
      <c r="J83" s="70"/>
      <c r="K83" s="38" t="s">
        <v>25</v>
      </c>
      <c r="L83" s="3"/>
    </row>
    <row r="84" spans="1:12" s="19" customFormat="1" ht="15.6" hidden="1" customHeight="1">
      <c r="A84" s="66" t="s">
        <v>98</v>
      </c>
      <c r="B84" s="49">
        <v>27068</v>
      </c>
      <c r="C84" s="49">
        <v>23418</v>
      </c>
      <c r="D84" s="63"/>
      <c r="E84" s="49">
        <v>17001</v>
      </c>
      <c r="F84" s="49">
        <v>27363</v>
      </c>
      <c r="G84" s="63">
        <f t="shared" si="14"/>
        <v>1.168460158852165</v>
      </c>
      <c r="H84" s="63">
        <f t="shared" si="15"/>
        <v>1.6094935592023998</v>
      </c>
      <c r="I84" s="69"/>
      <c r="J84" s="70"/>
      <c r="K84" s="38" t="s">
        <v>25</v>
      </c>
      <c r="L84" s="3"/>
    </row>
    <row r="85" spans="1:12" s="19" customFormat="1" ht="15.6" hidden="1" customHeight="1">
      <c r="A85" s="65" t="s">
        <v>103</v>
      </c>
      <c r="B85" s="49">
        <v>75</v>
      </c>
      <c r="C85" s="49">
        <v>60</v>
      </c>
      <c r="D85" s="63"/>
      <c r="E85" s="49">
        <v>75</v>
      </c>
      <c r="F85" s="49">
        <v>75</v>
      </c>
      <c r="G85" s="63">
        <f t="shared" si="14"/>
        <v>1.25</v>
      </c>
      <c r="H85" s="63">
        <f t="shared" si="15"/>
        <v>1</v>
      </c>
      <c r="I85" s="69"/>
      <c r="J85" s="70"/>
      <c r="K85" s="38" t="s">
        <v>25</v>
      </c>
      <c r="L85" s="5"/>
    </row>
    <row r="86" spans="1:12" s="41" customFormat="1" ht="15.6" hidden="1" customHeight="1">
      <c r="A86" s="67" t="s">
        <v>104</v>
      </c>
      <c r="B86" s="50">
        <v>796</v>
      </c>
      <c r="C86" s="50">
        <v>878.91759999999999</v>
      </c>
      <c r="D86" s="63">
        <f>IF(C86&lt;&gt;0,IFERROR(C86/B86,"-"),"-")</f>
        <v>1.1041678391959799</v>
      </c>
      <c r="E86" s="50">
        <v>0</v>
      </c>
      <c r="F86" s="50">
        <v>748.18340000000001</v>
      </c>
      <c r="G86" s="63">
        <f t="shared" si="14"/>
        <v>0.85125545329846619</v>
      </c>
      <c r="H86" s="63" t="str">
        <f t="shared" si="15"/>
        <v>-</v>
      </c>
      <c r="I86" s="49"/>
      <c r="J86" s="51"/>
      <c r="K86" s="38" t="s">
        <v>105</v>
      </c>
      <c r="L86" s="3"/>
    </row>
    <row r="87" spans="1:12" s="41" customFormat="1" ht="15.6" hidden="1" customHeight="1">
      <c r="A87" s="66" t="s">
        <v>106</v>
      </c>
      <c r="B87" s="71">
        <f>IFERROR(B86/B56,0)</f>
        <v>4.8948077527359579E-4</v>
      </c>
      <c r="C87" s="71">
        <f>IFERROR(C86/C56,0)</f>
        <v>9.8928634139093877E-4</v>
      </c>
      <c r="D87" s="72"/>
      <c r="E87" s="71">
        <f>IFERROR(E86/E56,0)</f>
        <v>0</v>
      </c>
      <c r="F87" s="71">
        <f>IFERROR(F86/F56,0)</f>
        <v>8.8318013284589337E-4</v>
      </c>
      <c r="G87" s="72">
        <f t="shared" si="14"/>
        <v>0.89274469473028417</v>
      </c>
      <c r="H87" s="72" t="str">
        <f t="shared" si="15"/>
        <v>-</v>
      </c>
      <c r="I87" s="71">
        <f>IFERROR(I86/I56,0)</f>
        <v>0</v>
      </c>
      <c r="J87" s="73">
        <f>IFERROR(J86/J56,0)</f>
        <v>0</v>
      </c>
      <c r="K87" s="18" t="s">
        <v>18</v>
      </c>
      <c r="L87" s="3"/>
    </row>
    <row r="88" spans="1:12" s="41" customFormat="1" ht="15.6" hidden="1" customHeight="1">
      <c r="A88" s="74" t="s">
        <v>107</v>
      </c>
      <c r="B88" s="75"/>
      <c r="C88" s="75"/>
      <c r="D88" s="63" t="str">
        <f>IF(C88&lt;&gt;0,IFERROR(C88/B88,"-"),"-")</f>
        <v>-</v>
      </c>
      <c r="E88" s="75"/>
      <c r="F88" s="75"/>
      <c r="G88" s="63" t="str">
        <f t="shared" si="14"/>
        <v>-</v>
      </c>
      <c r="H88" s="63" t="str">
        <f t="shared" si="15"/>
        <v>-</v>
      </c>
      <c r="I88" s="49"/>
      <c r="J88" s="51"/>
      <c r="K88" s="38" t="s">
        <v>25</v>
      </c>
      <c r="L88" s="3"/>
    </row>
    <row r="89" spans="1:12" s="41" customFormat="1" ht="15.6" customHeight="1">
      <c r="A89" s="76" t="s">
        <v>108</v>
      </c>
      <c r="B89" s="77">
        <f>B5-B56</f>
        <v>-14121</v>
      </c>
      <c r="C89" s="77">
        <f>C5-C56</f>
        <v>-34188</v>
      </c>
      <c r="D89" s="78" t="s">
        <v>109</v>
      </c>
      <c r="E89" s="77">
        <f>E5-E56</f>
        <v>32982</v>
      </c>
      <c r="F89" s="77">
        <f>F5-F56</f>
        <v>26330</v>
      </c>
      <c r="G89" s="78">
        <f t="shared" si="14"/>
        <v>-0.77015327015327018</v>
      </c>
      <c r="H89" s="78">
        <f t="shared" si="15"/>
        <v>0.79831423200533624</v>
      </c>
      <c r="I89" s="77">
        <f>I5-I56</f>
        <v>0</v>
      </c>
      <c r="J89" s="79">
        <f>J5-J56</f>
        <v>0</v>
      </c>
      <c r="K89" s="38" t="s">
        <v>80</v>
      </c>
      <c r="L89" s="3"/>
    </row>
    <row r="90" spans="1:12" s="32" customFormat="1" ht="15.6" customHeight="1">
      <c r="A90" s="80" t="s">
        <v>110</v>
      </c>
      <c r="B90" s="81">
        <f>IFERROR((-(B89/(B6-B13))),"-")</f>
        <v>3.8748694394684327E-2</v>
      </c>
      <c r="C90" s="81">
        <f>IFERROR((-(C89/(C6-C13))),"-")</f>
        <v>8.6612178418305402E-2</v>
      </c>
      <c r="D90" s="82" t="s">
        <v>109</v>
      </c>
      <c r="E90" s="81">
        <f>IFERROR((-(E89/(E6-E13))),"-")</f>
        <v>-0.1138719644249372</v>
      </c>
      <c r="F90" s="81">
        <f>IFERROR((-(F89/(F6-F13))),"-")</f>
        <v>-6.9915664918178258E-2</v>
      </c>
      <c r="G90" s="81">
        <f t="shared" si="14"/>
        <v>-0.80722672255754802</v>
      </c>
      <c r="H90" s="81">
        <f t="shared" si="15"/>
        <v>0.61398488443804511</v>
      </c>
      <c r="I90" s="81" t="str">
        <f>IFERROR((-(I89/(I6-I13))),"-")</f>
        <v>-</v>
      </c>
      <c r="J90" s="83" t="str">
        <f>IFERROR((-(J89/(J6-J13))),"-")</f>
        <v>-</v>
      </c>
      <c r="K90" s="18" t="s">
        <v>18</v>
      </c>
      <c r="L90" s="5"/>
    </row>
    <row r="91" spans="1:12" s="41" customFormat="1" ht="15.6" customHeight="1">
      <c r="A91" s="80" t="s">
        <v>111</v>
      </c>
      <c r="B91" s="84">
        <f>(B6-B13)*IF(B118="да",0.05,0.1)+IF(B109&gt;0,B109,0)</f>
        <v>76839.311481818208</v>
      </c>
      <c r="C91" s="84">
        <f>(C6-C13)*IF(C118="да",0.05,0.1)+IF(C109&gt;0,C109,0)</f>
        <v>68989.329090909043</v>
      </c>
      <c r="D91" s="82" t="s">
        <v>109</v>
      </c>
      <c r="E91" s="84"/>
      <c r="F91" s="84">
        <f>(F6-F13)*IF(F118="да",0.05,0.1)+IF(F109&gt;0,F109,0)</f>
        <v>37659.657575757577</v>
      </c>
      <c r="G91" s="81">
        <f t="shared" si="14"/>
        <v>0.54587655905643695</v>
      </c>
      <c r="H91" s="81" t="str">
        <f t="shared" si="15"/>
        <v>-</v>
      </c>
      <c r="I91" s="84">
        <f>(I6-I13)*IF(I118="да",0.05,0.1)+IF(I109&gt;0,I109,0)</f>
        <v>0</v>
      </c>
      <c r="J91" s="85">
        <f>(J6-J13)*IF(J118="да",0.05,0.1)+IF(J109&gt;0,J109,0)</f>
        <v>0</v>
      </c>
      <c r="K91" s="18" t="s">
        <v>18</v>
      </c>
      <c r="L91" s="3"/>
    </row>
    <row r="92" spans="1:12" s="41" customFormat="1" ht="15.6" customHeight="1">
      <c r="A92" s="80" t="s">
        <v>112</v>
      </c>
      <c r="B92" s="81">
        <f>IFERROR(((B89+IF(B109&gt;0,B109,0))/(B6-B13)),"-")</f>
        <v>7.210202425887649E-2</v>
      </c>
      <c r="C92" s="81">
        <f>IFERROR(((C89+IF(C109&gt;0,C109,0))/(C6-C13)),"-")</f>
        <v>-1.1834008294841004E-2</v>
      </c>
      <c r="D92" s="82" t="s">
        <v>109</v>
      </c>
      <c r="E92" s="81">
        <f>IFERROR(((E89+IF(E109&gt;0,E109,0))/(E6-E13)),"-")</f>
        <v>0.1138719644249372</v>
      </c>
      <c r="F92" s="81">
        <f>IFERROR(((F89+IF(F109&gt;0,F109,0))/(F6-F13)),"-")</f>
        <v>6.9915664918178258E-2</v>
      </c>
      <c r="G92" s="81"/>
      <c r="H92" s="81"/>
      <c r="I92" s="81" t="str">
        <f>IFERROR(((I89+IF(I109&gt;0,I109,0))/(I6-I13)),"-")</f>
        <v>-</v>
      </c>
      <c r="J92" s="81" t="str">
        <f>IFERROR(((J89+IF(J109&gt;0,J109,0))/(J6-J13)),"-")</f>
        <v>-</v>
      </c>
      <c r="K92" s="18" t="s">
        <v>18</v>
      </c>
      <c r="L92" s="5"/>
    </row>
    <row r="93" spans="1:12" s="41" customFormat="1" ht="15.6" customHeight="1">
      <c r="A93" s="80" t="s">
        <v>113</v>
      </c>
      <c r="B93" s="84"/>
      <c r="C93" s="84">
        <f>C112-B112</f>
        <v>0</v>
      </c>
      <c r="D93" s="82" t="s">
        <v>109</v>
      </c>
      <c r="E93" s="84"/>
      <c r="F93" s="84">
        <f>F112-E112</f>
        <v>0</v>
      </c>
      <c r="G93" s="86" t="str">
        <f t="shared" ref="G93:G118" si="16">IF(F93&lt;&gt;0,IFERROR(F93/C93,"-"),"-")</f>
        <v>-</v>
      </c>
      <c r="H93" s="86" t="str">
        <f t="shared" ref="H93:H118" si="17">IF(F93&lt;&gt;0,IFERROR(F93/E93,"-"),"-")</f>
        <v>-</v>
      </c>
      <c r="I93" s="84"/>
      <c r="J93" s="85"/>
      <c r="K93" s="18" t="s">
        <v>18</v>
      </c>
      <c r="L93" s="3"/>
    </row>
    <row r="94" spans="1:12" s="19" customFormat="1" ht="15.6" customHeight="1">
      <c r="A94" s="76" t="s">
        <v>114</v>
      </c>
      <c r="B94" s="77">
        <f>B95+B98+B101+B102+B105+B108+B109</f>
        <v>14121.000000000018</v>
      </c>
      <c r="C94" s="77">
        <f>C95+C98+C101+C102+C105+C108+C109</f>
        <v>34187.999999999949</v>
      </c>
      <c r="D94" s="78" t="s">
        <v>109</v>
      </c>
      <c r="E94" s="77">
        <f>E95+E98+E101+E102+E105+E108+E109</f>
        <v>-32982</v>
      </c>
      <c r="F94" s="77">
        <f>F95+F98+F101+F102+F105+F108+F109</f>
        <v>-26330.000000000015</v>
      </c>
      <c r="G94" s="78">
        <f t="shared" si="16"/>
        <v>-0.77015327015327173</v>
      </c>
      <c r="H94" s="78">
        <f t="shared" si="17"/>
        <v>0.79831423200533669</v>
      </c>
      <c r="I94" s="77">
        <f>I95+I98+I101+I102+I105+I108+I109</f>
        <v>0</v>
      </c>
      <c r="J94" s="79">
        <f>J95+J98+J101+J102+J105+J108+J109</f>
        <v>0</v>
      </c>
      <c r="K94" s="18" t="s">
        <v>115</v>
      </c>
      <c r="L94" s="3"/>
    </row>
    <row r="95" spans="1:12" s="41" customFormat="1" ht="47.25" customHeight="1">
      <c r="A95" s="87" t="s">
        <v>116</v>
      </c>
      <c r="B95" s="84">
        <f>B97+B96</f>
        <v>-1555</v>
      </c>
      <c r="C95" s="84">
        <f>C97+C96</f>
        <v>0</v>
      </c>
      <c r="D95" s="82" t="s">
        <v>109</v>
      </c>
      <c r="E95" s="84">
        <f>E97+E96</f>
        <v>0</v>
      </c>
      <c r="F95" s="84">
        <f>F97+F96</f>
        <v>0</v>
      </c>
      <c r="G95" s="86" t="str">
        <f t="shared" si="16"/>
        <v>-</v>
      </c>
      <c r="H95" s="86" t="str">
        <f t="shared" si="17"/>
        <v>-</v>
      </c>
      <c r="I95" s="84">
        <f>I97+I96</f>
        <v>0</v>
      </c>
      <c r="J95" s="85">
        <f>J97+J96</f>
        <v>0</v>
      </c>
      <c r="K95" s="88" t="s">
        <v>117</v>
      </c>
      <c r="L95" s="3"/>
    </row>
    <row r="96" spans="1:12" s="41" customFormat="1" ht="15.6" customHeight="1">
      <c r="A96" s="89" t="s">
        <v>118</v>
      </c>
      <c r="B96" s="50"/>
      <c r="C96" s="50"/>
      <c r="D96" s="82" t="s">
        <v>109</v>
      </c>
      <c r="E96" s="50"/>
      <c r="F96" s="50"/>
      <c r="G96" s="86" t="str">
        <f t="shared" si="16"/>
        <v>-</v>
      </c>
      <c r="H96" s="86" t="str">
        <f t="shared" si="17"/>
        <v>-</v>
      </c>
      <c r="I96" s="49"/>
      <c r="J96" s="51"/>
      <c r="K96" s="90" t="s">
        <v>119</v>
      </c>
      <c r="L96" s="3"/>
    </row>
    <row r="97" spans="1:12" s="91" customFormat="1" ht="15.6" customHeight="1">
      <c r="A97" s="89" t="s">
        <v>120</v>
      </c>
      <c r="B97" s="50">
        <v>-1555</v>
      </c>
      <c r="C97" s="50">
        <v>0</v>
      </c>
      <c r="D97" s="82" t="s">
        <v>109</v>
      </c>
      <c r="E97" s="50"/>
      <c r="F97" s="50"/>
      <c r="G97" s="86" t="str">
        <f t="shared" si="16"/>
        <v>-</v>
      </c>
      <c r="H97" s="86" t="str">
        <f t="shared" si="17"/>
        <v>-</v>
      </c>
      <c r="I97" s="49"/>
      <c r="J97" s="51"/>
      <c r="K97" s="90" t="s">
        <v>121</v>
      </c>
      <c r="L97" s="3"/>
    </row>
    <row r="98" spans="1:12" s="41" customFormat="1" ht="15.6" customHeight="1">
      <c r="A98" s="87" t="s">
        <v>122</v>
      </c>
      <c r="B98" s="84">
        <f>B99+B100</f>
        <v>-25000</v>
      </c>
      <c r="C98" s="84">
        <f>C99+C100</f>
        <v>0</v>
      </c>
      <c r="D98" s="82" t="s">
        <v>109</v>
      </c>
      <c r="E98" s="84">
        <f>E99+E100</f>
        <v>0</v>
      </c>
      <c r="F98" s="84">
        <f>F99+F100</f>
        <v>0</v>
      </c>
      <c r="G98" s="86" t="str">
        <f t="shared" si="16"/>
        <v>-</v>
      </c>
      <c r="H98" s="86" t="str">
        <f t="shared" si="17"/>
        <v>-</v>
      </c>
      <c r="I98" s="84">
        <f>I99+I100</f>
        <v>0</v>
      </c>
      <c r="J98" s="85">
        <f>J99+J100</f>
        <v>0</v>
      </c>
      <c r="K98" s="90" t="s">
        <v>123</v>
      </c>
      <c r="L98" s="3"/>
    </row>
    <row r="99" spans="1:12" s="41" customFormat="1" ht="15.6" customHeight="1">
      <c r="A99" s="89" t="s">
        <v>124</v>
      </c>
      <c r="B99" s="50"/>
      <c r="C99" s="50"/>
      <c r="D99" s="82" t="s">
        <v>109</v>
      </c>
      <c r="E99" s="50">
        <v>0</v>
      </c>
      <c r="F99" s="50">
        <v>0</v>
      </c>
      <c r="G99" s="86" t="str">
        <f t="shared" si="16"/>
        <v>-</v>
      </c>
      <c r="H99" s="86" t="str">
        <f t="shared" si="17"/>
        <v>-</v>
      </c>
      <c r="I99" s="49"/>
      <c r="J99" s="51"/>
      <c r="K99" s="90" t="s">
        <v>125</v>
      </c>
      <c r="L99" s="3"/>
    </row>
    <row r="100" spans="1:12" ht="15.6" customHeight="1">
      <c r="A100" s="89" t="s">
        <v>126</v>
      </c>
      <c r="B100" s="50">
        <v>-25000</v>
      </c>
      <c r="C100" s="50"/>
      <c r="D100" s="82" t="s">
        <v>109</v>
      </c>
      <c r="E100" s="50"/>
      <c r="F100" s="50"/>
      <c r="G100" s="86" t="str">
        <f t="shared" si="16"/>
        <v>-</v>
      </c>
      <c r="H100" s="86" t="str">
        <f t="shared" si="17"/>
        <v>-</v>
      </c>
      <c r="I100" s="49"/>
      <c r="J100" s="51"/>
      <c r="K100" s="90" t="s">
        <v>127</v>
      </c>
      <c r="L100" s="3"/>
    </row>
    <row r="101" spans="1:12" s="92" customFormat="1" ht="15.6" customHeight="1">
      <c r="A101" s="87" t="s">
        <v>128</v>
      </c>
      <c r="B101" s="50">
        <v>0</v>
      </c>
      <c r="C101" s="50">
        <v>0</v>
      </c>
      <c r="D101" s="82" t="s">
        <v>109</v>
      </c>
      <c r="E101" s="50">
        <v>0</v>
      </c>
      <c r="F101" s="50">
        <v>0</v>
      </c>
      <c r="G101" s="86" t="str">
        <f t="shared" si="16"/>
        <v>-</v>
      </c>
      <c r="H101" s="86" t="str">
        <f t="shared" si="17"/>
        <v>-</v>
      </c>
      <c r="I101" s="49"/>
      <c r="J101" s="51"/>
      <c r="K101" s="90" t="s">
        <v>129</v>
      </c>
      <c r="L101" s="3"/>
    </row>
    <row r="102" spans="1:12" ht="15.6" customHeight="1">
      <c r="A102" s="87" t="s">
        <v>130</v>
      </c>
      <c r="B102" s="84">
        <f>B103+B104</f>
        <v>0</v>
      </c>
      <c r="C102" s="84">
        <f>C103+C104</f>
        <v>0</v>
      </c>
      <c r="D102" s="82" t="s">
        <v>109</v>
      </c>
      <c r="E102" s="84">
        <f>E103+E104</f>
        <v>0</v>
      </c>
      <c r="F102" s="84">
        <f>F103+F104</f>
        <v>0</v>
      </c>
      <c r="G102" s="86" t="str">
        <f t="shared" si="16"/>
        <v>-</v>
      </c>
      <c r="H102" s="86" t="str">
        <f t="shared" si="17"/>
        <v>-</v>
      </c>
      <c r="I102" s="84">
        <f>I103+I104</f>
        <v>0</v>
      </c>
      <c r="J102" s="85">
        <f>J103+J104</f>
        <v>0</v>
      </c>
      <c r="K102" s="90" t="s">
        <v>131</v>
      </c>
      <c r="L102" s="3"/>
    </row>
    <row r="103" spans="1:12" s="41" customFormat="1" ht="15.6" customHeight="1">
      <c r="A103" s="89" t="s">
        <v>132</v>
      </c>
      <c r="B103" s="50"/>
      <c r="C103" s="50"/>
      <c r="D103" s="82" t="s">
        <v>109</v>
      </c>
      <c r="E103" s="50"/>
      <c r="F103" s="50"/>
      <c r="G103" s="86" t="str">
        <f t="shared" si="16"/>
        <v>-</v>
      </c>
      <c r="H103" s="86" t="str">
        <f t="shared" si="17"/>
        <v>-</v>
      </c>
      <c r="I103" s="49"/>
      <c r="J103" s="51"/>
      <c r="K103" s="90" t="s">
        <v>133</v>
      </c>
      <c r="L103" s="3"/>
    </row>
    <row r="104" spans="1:12" s="41" customFormat="1" ht="15.6" customHeight="1">
      <c r="A104" s="89" t="s">
        <v>134</v>
      </c>
      <c r="B104" s="50"/>
      <c r="C104" s="50"/>
      <c r="D104" s="82" t="s">
        <v>109</v>
      </c>
      <c r="E104" s="50"/>
      <c r="F104" s="50"/>
      <c r="G104" s="86" t="str">
        <f t="shared" si="16"/>
        <v>-</v>
      </c>
      <c r="H104" s="86" t="str">
        <f t="shared" si="17"/>
        <v>-</v>
      </c>
      <c r="I104" s="49"/>
      <c r="J104" s="51"/>
      <c r="K104" s="90" t="s">
        <v>135</v>
      </c>
      <c r="L104" s="3"/>
    </row>
    <row r="105" spans="1:12" s="41" customFormat="1" ht="15.6" customHeight="1">
      <c r="A105" s="87" t="s">
        <v>136</v>
      </c>
      <c r="B105" s="84">
        <f>B106+B107</f>
        <v>3</v>
      </c>
      <c r="C105" s="84">
        <f>C106+C107</f>
        <v>110</v>
      </c>
      <c r="D105" s="82" t="s">
        <v>109</v>
      </c>
      <c r="E105" s="84">
        <f>E106+E107</f>
        <v>2</v>
      </c>
      <c r="F105" s="84">
        <f>F106+F107</f>
        <v>0</v>
      </c>
      <c r="G105" s="86" t="str">
        <f t="shared" si="16"/>
        <v>-</v>
      </c>
      <c r="H105" s="86" t="str">
        <f t="shared" si="17"/>
        <v>-</v>
      </c>
      <c r="I105" s="84">
        <f>I106+I107</f>
        <v>0</v>
      </c>
      <c r="J105" s="85">
        <f>J106+J107</f>
        <v>0</v>
      </c>
      <c r="K105" s="90" t="s">
        <v>137</v>
      </c>
      <c r="L105" s="3"/>
    </row>
    <row r="106" spans="1:12" s="41" customFormat="1" ht="15.6" customHeight="1">
      <c r="A106" s="89" t="s">
        <v>138</v>
      </c>
      <c r="B106" s="50"/>
      <c r="C106" s="50"/>
      <c r="D106" s="82" t="s">
        <v>109</v>
      </c>
      <c r="E106" s="50"/>
      <c r="F106" s="50"/>
      <c r="G106" s="86" t="str">
        <f t="shared" si="16"/>
        <v>-</v>
      </c>
      <c r="H106" s="86" t="str">
        <f t="shared" si="17"/>
        <v>-</v>
      </c>
      <c r="I106" s="49"/>
      <c r="J106" s="51"/>
      <c r="K106" s="90" t="s">
        <v>139</v>
      </c>
      <c r="L106" s="3"/>
    </row>
    <row r="107" spans="1:12" s="32" customFormat="1" ht="15.6" customHeight="1">
      <c r="A107" s="89" t="s">
        <v>134</v>
      </c>
      <c r="B107" s="50">
        <v>3</v>
      </c>
      <c r="C107" s="50">
        <v>110</v>
      </c>
      <c r="D107" s="82" t="s">
        <v>109</v>
      </c>
      <c r="E107" s="50">
        <v>2</v>
      </c>
      <c r="F107" s="50">
        <v>0</v>
      </c>
      <c r="G107" s="86" t="str">
        <f t="shared" si="16"/>
        <v>-</v>
      </c>
      <c r="H107" s="86" t="str">
        <f t="shared" si="17"/>
        <v>-</v>
      </c>
      <c r="I107" s="49"/>
      <c r="J107" s="51"/>
      <c r="K107" s="90" t="s">
        <v>140</v>
      </c>
      <c r="L107" s="3"/>
    </row>
    <row r="108" spans="1:12" s="1" customFormat="1" ht="15.6" customHeight="1">
      <c r="A108" s="87" t="s">
        <v>141</v>
      </c>
      <c r="B108" s="50">
        <v>276.20670000000001</v>
      </c>
      <c r="C108" s="50">
        <v>4561.18</v>
      </c>
      <c r="D108" s="82" t="s">
        <v>109</v>
      </c>
      <c r="E108" s="50">
        <v>-783</v>
      </c>
      <c r="F108" s="50">
        <v>6376.2318999999998</v>
      </c>
      <c r="G108" s="86">
        <f t="shared" si="16"/>
        <v>1.3979347230321977</v>
      </c>
      <c r="H108" s="86">
        <f t="shared" si="17"/>
        <v>-8.1433357598978287</v>
      </c>
      <c r="I108" s="49"/>
      <c r="J108" s="51"/>
      <c r="K108" s="93" t="s">
        <v>142</v>
      </c>
      <c r="L108" s="3"/>
    </row>
    <row r="109" spans="1:12" s="41" customFormat="1" ht="45.75" customHeight="1">
      <c r="A109" s="87" t="s">
        <v>143</v>
      </c>
      <c r="B109" s="84">
        <f>B110+B111</f>
        <v>40396.793300000019</v>
      </c>
      <c r="C109" s="84">
        <f>C110+C111</f>
        <v>29516.819999999949</v>
      </c>
      <c r="D109" s="82" t="s">
        <v>109</v>
      </c>
      <c r="E109" s="84">
        <f>E110+E111</f>
        <v>-32201</v>
      </c>
      <c r="F109" s="84">
        <f>F110+F111</f>
        <v>-32706.231900000013</v>
      </c>
      <c r="G109" s="86">
        <f t="shared" si="16"/>
        <v>-1.1080540485052275</v>
      </c>
      <c r="H109" s="86">
        <f t="shared" si="17"/>
        <v>1.0156899444116647</v>
      </c>
      <c r="I109" s="84">
        <f>I110+I111</f>
        <v>0</v>
      </c>
      <c r="J109" s="85">
        <f>J110+J111</f>
        <v>0</v>
      </c>
      <c r="K109" s="94" t="s">
        <v>144</v>
      </c>
      <c r="L109" s="3"/>
    </row>
    <row r="110" spans="1:12" s="41" customFormat="1" ht="15.6" customHeight="1">
      <c r="A110" s="89" t="s">
        <v>145</v>
      </c>
      <c r="B110" s="84">
        <f>-B5-B96-B99-B104-B107-B108</f>
        <v>-1612371.2067</v>
      </c>
      <c r="C110" s="85">
        <f>-C5-C96-C99-C104-C107-C108</f>
        <v>-858919.18</v>
      </c>
      <c r="D110" s="82" t="s">
        <v>109</v>
      </c>
      <c r="E110" s="85">
        <f>-E5-E96-E99-E104-E107-E108</f>
        <v>-545346</v>
      </c>
      <c r="F110" s="85">
        <f>-F5-F96-F99-F104-F107-F108</f>
        <v>-879853.23190000001</v>
      </c>
      <c r="G110" s="86">
        <f t="shared" si="16"/>
        <v>1.0243725514430821</v>
      </c>
      <c r="H110" s="86">
        <f t="shared" si="17"/>
        <v>1.6133853221624437</v>
      </c>
      <c r="I110" s="84">
        <f>-I5-I96-I99-I104-I107-I108</f>
        <v>0</v>
      </c>
      <c r="J110" s="85">
        <f>-J5-J96-J99-J104-J107-J108</f>
        <v>0</v>
      </c>
      <c r="K110" s="18" t="s">
        <v>146</v>
      </c>
      <c r="L110" s="3"/>
    </row>
    <row r="111" spans="1:12" s="1" customFormat="1" ht="15.6" customHeight="1">
      <c r="A111" s="89" t="s">
        <v>147</v>
      </c>
      <c r="B111" s="84">
        <f>B56-B97-B100-B101-B103-B106</f>
        <v>1652768</v>
      </c>
      <c r="C111" s="85">
        <f>C56-C97-C100-C101-C103-C106</f>
        <v>888436</v>
      </c>
      <c r="D111" s="82" t="s">
        <v>109</v>
      </c>
      <c r="E111" s="85">
        <f>E56-E97-E100-E101-E103-E106</f>
        <v>513145</v>
      </c>
      <c r="F111" s="85">
        <f>F56-F97-F100-F101-F103-F106</f>
        <v>847147</v>
      </c>
      <c r="G111" s="86">
        <f t="shared" si="16"/>
        <v>0.95352619659716631</v>
      </c>
      <c r="H111" s="86">
        <f t="shared" si="17"/>
        <v>1.6508920480565923</v>
      </c>
      <c r="I111" s="84">
        <f>I56-I97-I100-I101-I103-I106</f>
        <v>0</v>
      </c>
      <c r="J111" s="85">
        <f>J56-J97-J100-J101-J103-J106</f>
        <v>0</v>
      </c>
      <c r="K111" s="18" t="s">
        <v>148</v>
      </c>
      <c r="L111" s="3"/>
    </row>
    <row r="112" spans="1:12" ht="15.6" customHeight="1">
      <c r="A112" s="95" t="s">
        <v>149</v>
      </c>
      <c r="B112" s="96">
        <f>B113+B114+B115</f>
        <v>0</v>
      </c>
      <c r="C112" s="96">
        <f>C113+C114+C115</f>
        <v>0</v>
      </c>
      <c r="D112" s="97" t="str">
        <f t="shared" ref="D112:D117" si="18">IF(C112&lt;&gt;0,IFERROR(C112/B112,"-"),"-")</f>
        <v>-</v>
      </c>
      <c r="E112" s="96">
        <f>E113+E114+E115</f>
        <v>0</v>
      </c>
      <c r="F112" s="96">
        <f>F113+F114+F115</f>
        <v>0</v>
      </c>
      <c r="G112" s="97" t="str">
        <f t="shared" si="16"/>
        <v>-</v>
      </c>
      <c r="H112" s="97" t="str">
        <f t="shared" si="17"/>
        <v>-</v>
      </c>
      <c r="I112" s="96">
        <f>I113+I114+I115</f>
        <v>0</v>
      </c>
      <c r="J112" s="98">
        <f>J113+J114+J115</f>
        <v>0</v>
      </c>
      <c r="K112" s="38" t="s">
        <v>150</v>
      </c>
      <c r="L112" s="3"/>
    </row>
    <row r="113" spans="1:12" s="4" customFormat="1" ht="15.6" customHeight="1">
      <c r="A113" s="99" t="s">
        <v>151</v>
      </c>
      <c r="B113" s="49"/>
      <c r="C113" s="49"/>
      <c r="D113" s="100" t="str">
        <f t="shared" si="18"/>
        <v>-</v>
      </c>
      <c r="E113" s="49"/>
      <c r="F113" s="49">
        <v>0</v>
      </c>
      <c r="G113" s="100" t="str">
        <f t="shared" si="16"/>
        <v>-</v>
      </c>
      <c r="H113" s="100" t="str">
        <f t="shared" si="17"/>
        <v>-</v>
      </c>
      <c r="I113" s="49"/>
      <c r="J113" s="51"/>
      <c r="K113" s="38" t="s">
        <v>150</v>
      </c>
      <c r="L113" s="3"/>
    </row>
    <row r="114" spans="1:12" s="4" customFormat="1" ht="15.6" customHeight="1">
      <c r="A114" s="99" t="s">
        <v>122</v>
      </c>
      <c r="B114" s="49"/>
      <c r="C114" s="49"/>
      <c r="D114" s="100" t="str">
        <f t="shared" si="18"/>
        <v>-</v>
      </c>
      <c r="E114" s="49"/>
      <c r="F114" s="49"/>
      <c r="G114" s="100" t="str">
        <f t="shared" si="16"/>
        <v>-</v>
      </c>
      <c r="H114" s="100" t="str">
        <f t="shared" si="17"/>
        <v>-</v>
      </c>
      <c r="I114" s="49"/>
      <c r="J114" s="51"/>
      <c r="K114" s="38" t="s">
        <v>150</v>
      </c>
      <c r="L114" s="3"/>
    </row>
    <row r="115" spans="1:12" s="4" customFormat="1" ht="15.6" customHeight="1">
      <c r="A115" s="99" t="s">
        <v>152</v>
      </c>
      <c r="B115" s="49"/>
      <c r="C115" s="49"/>
      <c r="D115" s="100" t="str">
        <f t="shared" si="18"/>
        <v>-</v>
      </c>
      <c r="E115" s="49"/>
      <c r="F115" s="49"/>
      <c r="G115" s="100" t="str">
        <f t="shared" si="16"/>
        <v>-</v>
      </c>
      <c r="H115" s="100" t="str">
        <f t="shared" si="17"/>
        <v>-</v>
      </c>
      <c r="I115" s="49"/>
      <c r="J115" s="51"/>
      <c r="K115" s="38" t="s">
        <v>150</v>
      </c>
      <c r="L115" s="3"/>
    </row>
    <row r="116" spans="1:12" s="4" customFormat="1" ht="15.6" customHeight="1">
      <c r="A116" s="99" t="s">
        <v>153</v>
      </c>
      <c r="B116" s="49"/>
      <c r="C116" s="49"/>
      <c r="D116" s="100" t="str">
        <f t="shared" si="18"/>
        <v>-</v>
      </c>
      <c r="E116" s="49"/>
      <c r="F116" s="49"/>
      <c r="G116" s="100" t="str">
        <f t="shared" si="16"/>
        <v>-</v>
      </c>
      <c r="H116" s="100" t="str">
        <f t="shared" si="17"/>
        <v>-</v>
      </c>
      <c r="I116" s="49"/>
      <c r="J116" s="51"/>
      <c r="K116" s="38" t="s">
        <v>25</v>
      </c>
      <c r="L116" s="3"/>
    </row>
    <row r="117" spans="1:12" s="4" customFormat="1" ht="15.6" customHeight="1">
      <c r="A117" s="99" t="s">
        <v>154</v>
      </c>
      <c r="B117" s="101">
        <f>(B6-B13)*IF(B118="нет",1,0.5)</f>
        <v>364425.18181818182</v>
      </c>
      <c r="C117" s="101">
        <f>(C6-C13)*IF(C118="нет",1,0.5)</f>
        <v>394725.09090909088</v>
      </c>
      <c r="D117" s="102">
        <f t="shared" si="18"/>
        <v>1.0831443890340877</v>
      </c>
      <c r="E117" s="101">
        <f>(E6-E13)*IF(E118="нет",1,0.5)</f>
        <v>289641.09090909088</v>
      </c>
      <c r="F117" s="101">
        <f>(F6-F13)*IF(F118="нет",1,0.5)</f>
        <v>376596.57575757575</v>
      </c>
      <c r="G117" s="102">
        <f t="shared" si="16"/>
        <v>0.95407306105177303</v>
      </c>
      <c r="H117" s="102">
        <f t="shared" si="17"/>
        <v>1.3002180546122077</v>
      </c>
      <c r="I117" s="101">
        <f>(I6-I13)*IF(I118="нет",1,0.5)</f>
        <v>0</v>
      </c>
      <c r="J117" s="103">
        <f>(J6-J13)*IF(J118="нет",1,0.5)</f>
        <v>0</v>
      </c>
      <c r="K117" s="18" t="s">
        <v>18</v>
      </c>
      <c r="L117" s="3"/>
    </row>
    <row r="118" spans="1:12" ht="15.6" customHeight="1">
      <c r="A118" s="99" t="s">
        <v>155</v>
      </c>
      <c r="B118" s="104" t="s">
        <v>5</v>
      </c>
      <c r="C118" s="104" t="s">
        <v>5</v>
      </c>
      <c r="D118" s="105" t="s">
        <v>109</v>
      </c>
      <c r="E118" s="104" t="s">
        <v>5</v>
      </c>
      <c r="F118" s="104" t="s">
        <v>5</v>
      </c>
      <c r="G118" s="105" t="str">
        <f t="shared" si="16"/>
        <v>-</v>
      </c>
      <c r="H118" s="105" t="str">
        <f t="shared" si="17"/>
        <v>-</v>
      </c>
      <c r="I118" s="104" t="s">
        <v>5</v>
      </c>
      <c r="J118" s="106" t="s">
        <v>5</v>
      </c>
      <c r="K118" s="38" t="s">
        <v>156</v>
      </c>
    </row>
    <row r="119" spans="1:12" ht="15.6" customHeight="1">
      <c r="A119" s="99" t="s">
        <v>157</v>
      </c>
      <c r="B119" s="100">
        <f>IFERROR(B112/(B6-B13),"-")</f>
        <v>0</v>
      </c>
      <c r="C119" s="100">
        <f>IFERROR(C112/(C6-C13),"-")</f>
        <v>0</v>
      </c>
      <c r="D119" s="105" t="s">
        <v>109</v>
      </c>
      <c r="E119" s="100">
        <f>IFERROR(E112/(E6-E13),"-")</f>
        <v>0</v>
      </c>
      <c r="F119" s="100">
        <f>IFERROR(F112/(F6-F13),"-")</f>
        <v>0</v>
      </c>
      <c r="G119" s="105" t="s">
        <v>109</v>
      </c>
      <c r="H119" s="105" t="s">
        <v>109</v>
      </c>
      <c r="I119" s="100" t="str">
        <f>IFERROR(I112/(I6-I13),"-")</f>
        <v>-</v>
      </c>
      <c r="J119" s="100" t="str">
        <f>IFERROR(J112/(J6-J13),"-")</f>
        <v>-</v>
      </c>
      <c r="K119" s="18" t="s">
        <v>18</v>
      </c>
      <c r="L119" s="5"/>
    </row>
    <row r="120" spans="1:12" s="4" customFormat="1" ht="15.6" customHeight="1">
      <c r="A120" s="95" t="s">
        <v>158</v>
      </c>
      <c r="B120" s="96">
        <f>B121+B128</f>
        <v>81490</v>
      </c>
      <c r="C120" s="96">
        <f>C121+C128</f>
        <v>47318</v>
      </c>
      <c r="D120" s="108">
        <f t="shared" ref="D120:D132" si="19">IF(C120&lt;&gt;0,IFERROR(C120/B120,"-"),"-")</f>
        <v>0.58066020370597615</v>
      </c>
      <c r="E120" s="96">
        <f>E121+E128</f>
        <v>82363</v>
      </c>
      <c r="F120" s="96">
        <f>F121+F128</f>
        <v>80024.231899999999</v>
      </c>
      <c r="G120" s="97">
        <f t="shared" ref="G120:G132" si="20">IF(F120&lt;&gt;0,IFERROR(F120/C120,"-"),"-")</f>
        <v>1.6912006403482818</v>
      </c>
      <c r="H120" s="97">
        <f t="shared" ref="H120:H132" si="21">IF(F120&lt;&gt;0,IFERROR(F120/E120,"-"),"-")</f>
        <v>0.97160414142272622</v>
      </c>
      <c r="I120" s="96">
        <f>I121+I128</f>
        <v>0</v>
      </c>
      <c r="J120" s="98">
        <f>J121+J128</f>
        <v>0</v>
      </c>
      <c r="K120" s="38" t="s">
        <v>159</v>
      </c>
      <c r="L120" s="3"/>
    </row>
    <row r="121" spans="1:12" s="4" customFormat="1" ht="15.6" customHeight="1">
      <c r="A121" s="99" t="s">
        <v>160</v>
      </c>
      <c r="B121" s="101">
        <f>B122+B123+B127</f>
        <v>81490</v>
      </c>
      <c r="C121" s="101">
        <f>C122+C123+C127</f>
        <v>47318</v>
      </c>
      <c r="D121" s="102">
        <f t="shared" si="19"/>
        <v>0.58066020370597615</v>
      </c>
      <c r="E121" s="101">
        <f>E122+E123+E127</f>
        <v>82363</v>
      </c>
      <c r="F121" s="101">
        <f>F122+F123+F127</f>
        <v>80024.231899999999</v>
      </c>
      <c r="G121" s="100">
        <f t="shared" si="20"/>
        <v>1.6912006403482818</v>
      </c>
      <c r="H121" s="100">
        <f t="shared" si="21"/>
        <v>0.97160414142272622</v>
      </c>
      <c r="I121" s="101">
        <f>I122+I123+I127</f>
        <v>0</v>
      </c>
      <c r="J121" s="103">
        <f>J122+J123+J127</f>
        <v>0</v>
      </c>
      <c r="K121" s="38" t="s">
        <v>159</v>
      </c>
      <c r="L121" s="3"/>
    </row>
    <row r="122" spans="1:12" s="92" customFormat="1" ht="15.6" customHeight="1">
      <c r="A122" s="99" t="s">
        <v>161</v>
      </c>
      <c r="B122" s="49">
        <v>584</v>
      </c>
      <c r="C122" s="49">
        <v>370</v>
      </c>
      <c r="D122" s="102">
        <f t="shared" si="19"/>
        <v>0.63356164383561642</v>
      </c>
      <c r="E122" s="49">
        <f>C122+E40+E55-E57-E58-E59-E66+E47+E52</f>
        <v>12786</v>
      </c>
      <c r="F122" s="49">
        <f>C122+F40+F55-F57-F58-F59-F66+F47+F52</f>
        <v>0</v>
      </c>
      <c r="G122" s="100" t="str">
        <f t="shared" si="20"/>
        <v>-</v>
      </c>
      <c r="H122" s="100" t="str">
        <f t="shared" si="21"/>
        <v>-</v>
      </c>
      <c r="I122" s="49"/>
      <c r="J122" s="51"/>
      <c r="K122" s="38" t="s">
        <v>159</v>
      </c>
      <c r="L122" s="3"/>
    </row>
    <row r="123" spans="1:12" s="92" customFormat="1" ht="15.6" customHeight="1">
      <c r="A123" s="99" t="s">
        <v>162</v>
      </c>
      <c r="B123" s="49">
        <v>80906</v>
      </c>
      <c r="C123" s="49">
        <v>46948</v>
      </c>
      <c r="D123" s="102">
        <f t="shared" si="19"/>
        <v>0.5802783477121598</v>
      </c>
      <c r="E123" s="49">
        <v>69577</v>
      </c>
      <c r="F123" s="49">
        <f>C123+F6+F38-F61+F95+F98+F108+F39+F54</f>
        <v>80024.231899999999</v>
      </c>
      <c r="G123" s="100">
        <f t="shared" si="20"/>
        <v>1.7045290938911135</v>
      </c>
      <c r="H123" s="100">
        <f t="shared" si="21"/>
        <v>1.1501535263089815</v>
      </c>
      <c r="I123" s="49"/>
      <c r="J123" s="51"/>
      <c r="K123" s="38" t="s">
        <v>159</v>
      </c>
      <c r="L123" s="3"/>
    </row>
    <row r="124" spans="1:12" s="92" customFormat="1" ht="15.6" customHeight="1">
      <c r="A124" s="99" t="s">
        <v>163</v>
      </c>
      <c r="B124" s="49"/>
      <c r="C124" s="49"/>
      <c r="D124" s="102" t="str">
        <f t="shared" si="19"/>
        <v>-</v>
      </c>
      <c r="E124" s="49"/>
      <c r="F124" s="49"/>
      <c r="G124" s="100" t="str">
        <f t="shared" si="20"/>
        <v>-</v>
      </c>
      <c r="H124" s="100" t="str">
        <f t="shared" si="21"/>
        <v>-</v>
      </c>
      <c r="I124" s="49"/>
      <c r="J124" s="51"/>
      <c r="K124" s="38" t="s">
        <v>25</v>
      </c>
      <c r="L124" s="3"/>
    </row>
    <row r="125" spans="1:12" s="92" customFormat="1" ht="15.6" customHeight="1">
      <c r="A125" s="99" t="s">
        <v>242</v>
      </c>
      <c r="B125" s="49"/>
      <c r="C125" s="49"/>
      <c r="D125" s="102" t="str">
        <f t="shared" si="19"/>
        <v>-</v>
      </c>
      <c r="E125" s="49"/>
      <c r="F125" s="49"/>
      <c r="G125" s="100" t="str">
        <f t="shared" si="20"/>
        <v>-</v>
      </c>
      <c r="H125" s="100" t="str">
        <f t="shared" si="21"/>
        <v>-</v>
      </c>
      <c r="I125" s="49"/>
      <c r="J125" s="51"/>
      <c r="K125" s="38" t="s">
        <v>25</v>
      </c>
      <c r="L125" s="3"/>
    </row>
    <row r="126" spans="1:12" s="92" customFormat="1" ht="15.6" customHeight="1">
      <c r="A126" s="99" t="s">
        <v>164</v>
      </c>
      <c r="B126" s="49"/>
      <c r="C126" s="49"/>
      <c r="D126" s="102" t="str">
        <f t="shared" si="19"/>
        <v>-</v>
      </c>
      <c r="E126" s="49"/>
      <c r="F126" s="49"/>
      <c r="G126" s="100" t="str">
        <f t="shared" si="20"/>
        <v>-</v>
      </c>
      <c r="H126" s="100" t="str">
        <f t="shared" si="21"/>
        <v>-</v>
      </c>
      <c r="I126" s="49"/>
      <c r="J126" s="51"/>
      <c r="K126" s="38" t="s">
        <v>25</v>
      </c>
      <c r="L126" s="3"/>
    </row>
    <row r="127" spans="1:12" s="92" customFormat="1" ht="15.6" customHeight="1">
      <c r="A127" s="109" t="s">
        <v>165</v>
      </c>
      <c r="B127" s="49"/>
      <c r="C127" s="49"/>
      <c r="D127" s="102" t="str">
        <f t="shared" si="19"/>
        <v>-</v>
      </c>
      <c r="E127" s="49"/>
      <c r="F127" s="49"/>
      <c r="G127" s="100" t="str">
        <f t="shared" si="20"/>
        <v>-</v>
      </c>
      <c r="H127" s="100" t="str">
        <f t="shared" si="21"/>
        <v>-</v>
      </c>
      <c r="I127" s="49"/>
      <c r="J127" s="51"/>
      <c r="K127" s="38" t="s">
        <v>25</v>
      </c>
      <c r="L127" s="3"/>
    </row>
    <row r="128" spans="1:12" s="92" customFormat="1" ht="15.6" customHeight="1">
      <c r="A128" s="99" t="s">
        <v>166</v>
      </c>
      <c r="B128" s="49"/>
      <c r="C128" s="49"/>
      <c r="D128" s="102" t="str">
        <f t="shared" si="19"/>
        <v>-</v>
      </c>
      <c r="E128" s="49"/>
      <c r="F128" s="49"/>
      <c r="G128" s="100" t="str">
        <f t="shared" si="20"/>
        <v>-</v>
      </c>
      <c r="H128" s="100" t="str">
        <f t="shared" si="21"/>
        <v>-</v>
      </c>
      <c r="I128" s="49"/>
      <c r="J128" s="51"/>
      <c r="K128" s="38" t="s">
        <v>25</v>
      </c>
      <c r="L128" s="3"/>
    </row>
    <row r="129" spans="1:12" s="4" customFormat="1" ht="15.6" hidden="1" customHeight="1">
      <c r="A129" s="110" t="s">
        <v>167</v>
      </c>
      <c r="B129" s="101">
        <f>B137+B130+B135</f>
        <v>47467</v>
      </c>
      <c r="C129" s="101">
        <f>C137+C130+C135</f>
        <v>39291</v>
      </c>
      <c r="D129" s="102">
        <f t="shared" si="19"/>
        <v>0.82775401858133024</v>
      </c>
      <c r="E129" s="101">
        <f>E137+E130+E135</f>
        <v>48700</v>
      </c>
      <c r="F129" s="101">
        <f>F137+F130+F135</f>
        <v>38148</v>
      </c>
      <c r="G129" s="100">
        <f t="shared" si="20"/>
        <v>0.97090936855768495</v>
      </c>
      <c r="H129" s="100">
        <f t="shared" si="21"/>
        <v>0.78332648870636545</v>
      </c>
      <c r="I129" s="101">
        <f>I137+I130+I135</f>
        <v>0</v>
      </c>
      <c r="J129" s="103">
        <f>J137+J130+J135</f>
        <v>0</v>
      </c>
      <c r="K129" s="38" t="s">
        <v>18</v>
      </c>
      <c r="L129" s="3"/>
    </row>
    <row r="130" spans="1:12" s="4" customFormat="1" ht="15.6" hidden="1" customHeight="1">
      <c r="A130" s="111" t="s">
        <v>168</v>
      </c>
      <c r="B130" s="49">
        <v>14760</v>
      </c>
      <c r="C130" s="49">
        <v>16675</v>
      </c>
      <c r="D130" s="102">
        <f t="shared" si="19"/>
        <v>1.1297425474254743</v>
      </c>
      <c r="E130" s="49">
        <v>17668</v>
      </c>
      <c r="F130" s="49">
        <v>16109</v>
      </c>
      <c r="G130" s="100">
        <f t="shared" si="20"/>
        <v>0.96605697151424286</v>
      </c>
      <c r="H130" s="100">
        <f t="shared" si="21"/>
        <v>0.91176137649988676</v>
      </c>
      <c r="I130" s="49"/>
      <c r="J130" s="51"/>
      <c r="K130" s="38" t="s">
        <v>159</v>
      </c>
      <c r="L130" s="3"/>
    </row>
    <row r="131" spans="1:12" s="4" customFormat="1" ht="15.6" hidden="1" customHeight="1">
      <c r="A131" s="112" t="s">
        <v>169</v>
      </c>
      <c r="B131" s="49"/>
      <c r="C131" s="49"/>
      <c r="D131" s="102" t="str">
        <f t="shared" si="19"/>
        <v>-</v>
      </c>
      <c r="E131" s="49"/>
      <c r="F131" s="49"/>
      <c r="G131" s="100" t="str">
        <f t="shared" si="20"/>
        <v>-</v>
      </c>
      <c r="H131" s="100" t="str">
        <f t="shared" si="21"/>
        <v>-</v>
      </c>
      <c r="I131" s="49"/>
      <c r="J131" s="51"/>
      <c r="K131" s="38" t="s">
        <v>25</v>
      </c>
      <c r="L131" s="3"/>
    </row>
    <row r="132" spans="1:12" s="4" customFormat="1" ht="15.6" hidden="1" customHeight="1">
      <c r="A132" s="112" t="s">
        <v>170</v>
      </c>
      <c r="B132" s="49"/>
      <c r="C132" s="49"/>
      <c r="D132" s="102" t="str">
        <f t="shared" si="19"/>
        <v>-</v>
      </c>
      <c r="E132" s="49"/>
      <c r="F132" s="49"/>
      <c r="G132" s="100" t="str">
        <f t="shared" si="20"/>
        <v>-</v>
      </c>
      <c r="H132" s="100" t="str">
        <f t="shared" si="21"/>
        <v>-</v>
      </c>
      <c r="I132" s="49"/>
      <c r="J132" s="51"/>
      <c r="K132" s="38" t="s">
        <v>25</v>
      </c>
      <c r="L132" s="3"/>
    </row>
    <row r="133" spans="1:12" s="4" customFormat="1" ht="15.6" hidden="1" customHeight="1">
      <c r="A133" s="112" t="s">
        <v>171</v>
      </c>
      <c r="B133" s="49"/>
      <c r="C133" s="49"/>
      <c r="D133" s="102"/>
      <c r="E133" s="49"/>
      <c r="F133" s="49"/>
      <c r="G133" s="100"/>
      <c r="H133" s="100"/>
      <c r="I133" s="49"/>
      <c r="J133" s="51"/>
      <c r="K133" s="38" t="s">
        <v>25</v>
      </c>
      <c r="L133" s="3"/>
    </row>
    <row r="134" spans="1:12" s="4" customFormat="1" ht="15.6" hidden="1" customHeight="1">
      <c r="A134" s="112" t="s">
        <v>172</v>
      </c>
      <c r="B134" s="100">
        <f>IFERROR(B130/B56,"-")</f>
        <v>9.0763018128621527E-3</v>
      </c>
      <c r="C134" s="100">
        <f>IFERROR(C130/C56,"-")</f>
        <v>1.8768937773795749E-2</v>
      </c>
      <c r="D134" s="102">
        <f t="shared" ref="D134:D139" si="22">IF(C134&lt;&gt;0,IFERROR(C134/B134,"-"),"-")</f>
        <v>2.0679058674754542</v>
      </c>
      <c r="E134" s="100"/>
      <c r="F134" s="100"/>
      <c r="G134" s="100" t="str">
        <f t="shared" ref="G134:G139" si="23">IF(F134&lt;&gt;0,IFERROR(F134/C134,"-"),"-")</f>
        <v>-</v>
      </c>
      <c r="H134" s="100" t="str">
        <f t="shared" ref="H134:H139" si="24">IF(F134&lt;&gt;0,IFERROR(F134/E134,"-"),"-")</f>
        <v>-</v>
      </c>
      <c r="I134" s="100" t="str">
        <f>IFERROR(I130/I56,"-")</f>
        <v>-</v>
      </c>
      <c r="J134" s="100" t="str">
        <f>IFERROR(J130/J56,"-")</f>
        <v>-</v>
      </c>
      <c r="K134" s="38" t="s">
        <v>18</v>
      </c>
      <c r="L134" s="5"/>
    </row>
    <row r="135" spans="1:12" s="4" customFormat="1" ht="15.6" hidden="1" customHeight="1">
      <c r="A135" s="111" t="s">
        <v>173</v>
      </c>
      <c r="B135" s="49">
        <v>196</v>
      </c>
      <c r="C135" s="49">
        <v>196</v>
      </c>
      <c r="D135" s="102">
        <f t="shared" si="22"/>
        <v>1</v>
      </c>
      <c r="E135" s="49">
        <v>211</v>
      </c>
      <c r="F135" s="49">
        <v>196</v>
      </c>
      <c r="G135" s="100">
        <f t="shared" si="23"/>
        <v>1</v>
      </c>
      <c r="H135" s="100">
        <f t="shared" si="24"/>
        <v>0.92890995260663511</v>
      </c>
      <c r="I135" s="49"/>
      <c r="J135" s="51"/>
      <c r="K135" s="38" t="s">
        <v>174</v>
      </c>
      <c r="L135" s="3"/>
    </row>
    <row r="136" spans="1:12" s="4" customFormat="1" ht="15.6" hidden="1" customHeight="1">
      <c r="A136" s="112" t="s">
        <v>175</v>
      </c>
      <c r="B136" s="100" t="str">
        <f>IFERROR(B135/B64,"-")</f>
        <v>-</v>
      </c>
      <c r="C136" s="100" t="str">
        <f>IFERROR(C135/C64,"-")</f>
        <v>-</v>
      </c>
      <c r="D136" s="102" t="str">
        <f t="shared" si="22"/>
        <v>-</v>
      </c>
      <c r="E136" s="100" t="str">
        <f>IFERROR(E135/E64,"-")</f>
        <v>-</v>
      </c>
      <c r="F136" s="100"/>
      <c r="G136" s="100" t="str">
        <f t="shared" si="23"/>
        <v>-</v>
      </c>
      <c r="H136" s="100" t="str">
        <f t="shared" si="24"/>
        <v>-</v>
      </c>
      <c r="I136" s="100" t="str">
        <f>IFERROR(I135/I64,"-")</f>
        <v>-</v>
      </c>
      <c r="J136" s="100" t="str">
        <f>IFERROR(J135/J64,"-")</f>
        <v>-</v>
      </c>
      <c r="K136" s="38" t="s">
        <v>18</v>
      </c>
      <c r="L136" s="5"/>
    </row>
    <row r="137" spans="1:12" s="4" customFormat="1" ht="15.6" hidden="1" customHeight="1">
      <c r="A137" s="111" t="s">
        <v>176</v>
      </c>
      <c r="B137" s="101">
        <f>B139+B138</f>
        <v>32511</v>
      </c>
      <c r="C137" s="101">
        <f>C139+C138</f>
        <v>22420</v>
      </c>
      <c r="D137" s="102">
        <f t="shared" si="22"/>
        <v>0.689612746455046</v>
      </c>
      <c r="E137" s="101">
        <f>E139+E138</f>
        <v>30821</v>
      </c>
      <c r="F137" s="101">
        <f>F139+F138</f>
        <v>21843</v>
      </c>
      <c r="G137" s="100">
        <f t="shared" si="23"/>
        <v>0.97426404995539695</v>
      </c>
      <c r="H137" s="100">
        <f t="shared" si="24"/>
        <v>0.70870510366308681</v>
      </c>
      <c r="I137" s="101">
        <f>I139+I138</f>
        <v>0</v>
      </c>
      <c r="J137" s="103">
        <f>J139+J138</f>
        <v>0</v>
      </c>
      <c r="K137" s="38" t="s">
        <v>174</v>
      </c>
      <c r="L137" s="3"/>
    </row>
    <row r="138" spans="1:12" s="4" customFormat="1" ht="15.6" hidden="1" customHeight="1">
      <c r="A138" s="112" t="s">
        <v>177</v>
      </c>
      <c r="B138" s="49">
        <v>32511</v>
      </c>
      <c r="C138" s="49">
        <v>22420</v>
      </c>
      <c r="D138" s="102">
        <f t="shared" si="22"/>
        <v>0.689612746455046</v>
      </c>
      <c r="E138" s="49">
        <v>30821</v>
      </c>
      <c r="F138" s="49">
        <v>21843</v>
      </c>
      <c r="G138" s="100">
        <f t="shared" si="23"/>
        <v>0.97426404995539695</v>
      </c>
      <c r="H138" s="100">
        <f t="shared" si="24"/>
        <v>0.70870510366308681</v>
      </c>
      <c r="I138" s="49"/>
      <c r="J138" s="51"/>
      <c r="K138" s="38" t="s">
        <v>25</v>
      </c>
      <c r="L138" s="3"/>
    </row>
    <row r="139" spans="1:12" s="4" customFormat="1" ht="15.6" hidden="1" customHeight="1">
      <c r="A139" s="112" t="s">
        <v>178</v>
      </c>
      <c r="B139" s="49"/>
      <c r="C139" s="49"/>
      <c r="D139" s="102" t="str">
        <f t="shared" si="22"/>
        <v>-</v>
      </c>
      <c r="E139" s="49"/>
      <c r="F139" s="49"/>
      <c r="G139" s="100" t="str">
        <f t="shared" si="23"/>
        <v>-</v>
      </c>
      <c r="H139" s="100" t="str">
        <f t="shared" si="24"/>
        <v>-</v>
      </c>
      <c r="I139" s="49"/>
      <c r="J139" s="51"/>
      <c r="K139" s="38" t="s">
        <v>25</v>
      </c>
      <c r="L139" s="3"/>
    </row>
    <row r="140" spans="1:12" s="4" customFormat="1" ht="15.6" hidden="1" customHeight="1">
      <c r="A140" s="172" t="s">
        <v>179</v>
      </c>
      <c r="B140" s="172"/>
      <c r="C140" s="172"/>
      <c r="D140" s="172"/>
      <c r="E140" s="172"/>
      <c r="F140" s="172"/>
      <c r="G140" s="172"/>
      <c r="H140" s="172"/>
      <c r="I140" s="1"/>
      <c r="J140" s="1"/>
      <c r="K140" s="1"/>
      <c r="L140" s="3"/>
    </row>
    <row r="141" spans="1:12" s="4" customFormat="1" ht="15.6" hidden="1" customHeight="1">
      <c r="A141" s="173" t="s">
        <v>180</v>
      </c>
      <c r="B141" s="173"/>
      <c r="C141" s="173"/>
      <c r="D141" s="173"/>
      <c r="E141" s="173"/>
      <c r="F141" s="173"/>
      <c r="G141" s="173"/>
      <c r="H141" s="173"/>
      <c r="I141" s="113"/>
      <c r="J141" s="1"/>
      <c r="K141" s="1"/>
      <c r="L141" s="3"/>
    </row>
    <row r="142" spans="1:12" s="115" customFormat="1" ht="15.4" hidden="1" customHeight="1">
      <c r="A142" s="173" t="s">
        <v>181</v>
      </c>
      <c r="B142" s="173"/>
      <c r="C142" s="173"/>
      <c r="D142" s="173"/>
      <c r="E142" s="173"/>
      <c r="F142" s="173"/>
      <c r="G142" s="173"/>
      <c r="H142" s="173"/>
      <c r="I142" s="113"/>
      <c r="J142" s="1"/>
      <c r="K142" s="114"/>
      <c r="L142" s="3"/>
    </row>
    <row r="143" spans="1:12" ht="15.75" hidden="1" customHeight="1">
      <c r="A143" s="173" t="s">
        <v>182</v>
      </c>
      <c r="B143" s="173"/>
      <c r="C143" s="173"/>
      <c r="D143" s="173"/>
      <c r="E143" s="173"/>
      <c r="F143" s="173"/>
      <c r="G143" s="173"/>
      <c r="H143" s="173"/>
      <c r="I143" s="116" t="s">
        <v>183</v>
      </c>
      <c r="J143" s="117">
        <v>44119.604548611111</v>
      </c>
    </row>
    <row r="144" spans="1:12">
      <c r="A144" s="174"/>
      <c r="B144" s="174"/>
      <c r="C144" s="174"/>
      <c r="D144" s="174"/>
      <c r="E144" s="174"/>
      <c r="F144" s="174"/>
      <c r="G144" s="174"/>
      <c r="H144" s="174"/>
    </row>
    <row r="145" spans="1:8">
      <c r="A145" s="174"/>
      <c r="B145" s="174"/>
      <c r="C145" s="174"/>
      <c r="D145" s="174"/>
      <c r="E145" s="174"/>
      <c r="F145" s="174"/>
      <c r="G145" s="174"/>
      <c r="H145" s="174"/>
    </row>
  </sheetData>
  <mergeCells count="12">
    <mergeCell ref="A140:H140"/>
    <mergeCell ref="A141:H141"/>
    <mergeCell ref="A142:H142"/>
    <mergeCell ref="A143:H143"/>
    <mergeCell ref="A144:H145"/>
    <mergeCell ref="D12:D13"/>
    <mergeCell ref="H12:H13"/>
    <mergeCell ref="A1:D1"/>
    <mergeCell ref="E1:F1"/>
    <mergeCell ref="G1:H1"/>
    <mergeCell ref="B2:D2"/>
    <mergeCell ref="G2:H2"/>
  </mergeCells>
  <conditionalFormatting sqref="B27">
    <cfRule type="expression" dxfId="24" priority="1">
      <formula>ROUND(SUM($B$27:$B$28),0)&lt;&gt;ROUND($B$26,0)</formula>
    </cfRule>
  </conditionalFormatting>
  <conditionalFormatting sqref="B28 B26">
    <cfRule type="expression" dxfId="23" priority="2">
      <formula>ROUND(SUM($B$27:$B$28),0)&lt;&gt;ROUND($B$26,0)</formula>
    </cfRule>
  </conditionalFormatting>
  <conditionalFormatting sqref="C26:C28">
    <cfRule type="expression" dxfId="22" priority="3">
      <formula>ROUND(SUM($C$27:$C$28),0)&lt;&gt;ROUND($C$26,0)</formula>
    </cfRule>
  </conditionalFormatting>
  <conditionalFormatting sqref="E26:E28">
    <cfRule type="expression" dxfId="21" priority="4">
      <formula>ROUND(SUM($E$27:$E$28),0)&lt;&gt;ROUND($E$26,0)</formula>
    </cfRule>
  </conditionalFormatting>
  <conditionalFormatting sqref="F26:F28">
    <cfRule type="expression" dxfId="20" priority="5">
      <formula>ROUND(SUM($F$27:$F$28),0)&lt;&gt;ROUND($F$26,0)</formula>
    </cfRule>
  </conditionalFormatting>
  <conditionalFormatting sqref="I26:I28">
    <cfRule type="expression" dxfId="19" priority="6">
      <formula>ROUND(SUM($I$27:$I$28),0)&lt;&gt;ROUND($I$26,0)</formula>
    </cfRule>
  </conditionalFormatting>
  <conditionalFormatting sqref="J26:J28">
    <cfRule type="expression" dxfId="18" priority="7">
      <formula>ROUND(SUM($J$27:$J$28),0)&lt;&gt;ROUND($J$26,0)</formula>
    </cfRule>
  </conditionalFormatting>
  <conditionalFormatting sqref="B44 B40:B41">
    <cfRule type="expression" dxfId="17" priority="8">
      <formula>ROUND($B$41+$B$44,0)&lt;&gt;ROUND($B$40,0)</formula>
    </cfRule>
  </conditionalFormatting>
  <conditionalFormatting sqref="B41:B43">
    <cfRule type="expression" dxfId="16" priority="9">
      <formula>ROUND($B$42+$B$43,0)&lt;&gt;ROUND($B$41,0)</formula>
    </cfRule>
  </conditionalFormatting>
  <conditionalFormatting sqref="B44:B46">
    <cfRule type="expression" dxfId="15" priority="10">
      <formula>ROUND($B$45+$B$46,0)&lt;&gt;ROUND($B$44,0)</formula>
    </cfRule>
  </conditionalFormatting>
  <conditionalFormatting sqref="C44 C40:C41">
    <cfRule type="expression" dxfId="14" priority="11">
      <formula>ROUND($C$41+$C$44,0)&lt;&gt;ROUND($C$40,0)</formula>
    </cfRule>
  </conditionalFormatting>
  <conditionalFormatting sqref="C41:C43">
    <cfRule type="expression" dxfId="13" priority="12">
      <formula>ROUND($C$42+$C$43,0)&lt;&gt;ROUND($C$41,0)</formula>
    </cfRule>
  </conditionalFormatting>
  <conditionalFormatting sqref="C44:C46">
    <cfRule type="expression" dxfId="12" priority="13">
      <formula>ROUND($C$45+$C$46,0)&lt;&gt;ROUND($C$44,0)</formula>
    </cfRule>
  </conditionalFormatting>
  <conditionalFormatting sqref="E44 E40:E41">
    <cfRule type="expression" dxfId="11" priority="14">
      <formula>ROUND($E$41+$E$44,0)&lt;&gt;ROUND($E$40,0)</formula>
    </cfRule>
  </conditionalFormatting>
  <conditionalFormatting sqref="E41:E43">
    <cfRule type="expression" dxfId="10" priority="15">
      <formula>ROUND($E$42+$E$43,0)&lt;&gt;ROUND($E$41,0)</formula>
    </cfRule>
  </conditionalFormatting>
  <conditionalFormatting sqref="E44:E46">
    <cfRule type="expression" dxfId="9" priority="16">
      <formula>ROUND($E$45+$E$46,0)&lt;&gt;ROUND($E$44,0)</formula>
    </cfRule>
  </conditionalFormatting>
  <conditionalFormatting sqref="F44 F40:F41">
    <cfRule type="expression" dxfId="8" priority="17">
      <formula>ROUND($F$41+$F$44,0)&lt;&gt;ROUND($F$40,0)</formula>
    </cfRule>
  </conditionalFormatting>
  <conditionalFormatting sqref="F41:F43">
    <cfRule type="expression" dxfId="7" priority="18">
      <formula>ROUND($F$42+$F$43,0)&lt;&gt;ROUND($F$41,0)</formula>
    </cfRule>
  </conditionalFormatting>
  <conditionalFormatting sqref="F44:F46">
    <cfRule type="expression" dxfId="6" priority="19">
      <formula>ROUND($F$45+$F$46,0)&lt;&gt;ROUND($F$44,0)</formula>
    </cfRule>
  </conditionalFormatting>
  <conditionalFormatting sqref="I44 I40:I41">
    <cfRule type="expression" dxfId="5" priority="20">
      <formula>ROUND($I$41+$I$44,0)&lt;&gt;ROUND($I$40,0)</formula>
    </cfRule>
  </conditionalFormatting>
  <conditionalFormatting sqref="I41:I43">
    <cfRule type="expression" dxfId="4" priority="21">
      <formula>ROUND($I$42+$I$43,0)&lt;&gt;ROUND($I$41,0)</formula>
    </cfRule>
  </conditionalFormatting>
  <conditionalFormatting sqref="I44:I46">
    <cfRule type="expression" dxfId="3" priority="22">
      <formula>ROUND($I$45+$I$46,0)&lt;&gt;ROUND($I$44,0)</formula>
    </cfRule>
  </conditionalFormatting>
  <conditionalFormatting sqref="J44 J40:J41">
    <cfRule type="expression" dxfId="2" priority="23">
      <formula>ROUND($J$41+$J$44,0)&lt;&gt;ROUND($J$40,0)</formula>
    </cfRule>
  </conditionalFormatting>
  <conditionalFormatting sqref="J41:J43">
    <cfRule type="expression" dxfId="1" priority="24">
      <formula>ROUND($J$42+$J$43,0)&lt;&gt;ROUND($J$41,0)</formula>
    </cfRule>
  </conditionalFormatting>
  <conditionalFormatting sqref="J44:J46">
    <cfRule type="expression" dxfId="0" priority="25">
      <formula>ROUND($J$45+$J$46,0)&lt;&gt;ROUND($J$44,0)</formula>
    </cfRule>
  </conditionalFormatting>
  <dataValidations disablePrompts="1" count="1">
    <dataValidation type="list" allowBlank="1" showInputMessage="1" showErrorMessage="1" sqref="B118:C118 E118:G118 I118:J118" xr:uid="{2308CE9B-C398-493D-94B3-9CEA48E574E4}">
      <formula1>$E$3:$F$3</formula1>
      <formula2>0</formula2>
    </dataValidation>
  </dataValidations>
  <pageMargins left="0.11811023622047245" right="0.11811023622047245" top="0.35433070866141736" bottom="0.15748031496062992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6578-6484-4370-8398-D6916CD3C5E9}">
  <dimension ref="A1:AMK13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65" sqref="K65"/>
    </sheetView>
  </sheetViews>
  <sheetFormatPr defaultColWidth="0" defaultRowHeight="15" zeroHeight="1"/>
  <cols>
    <col min="1" max="1" width="0.7109375" style="122" customWidth="1"/>
    <col min="2" max="2" width="44" style="153" customWidth="1"/>
    <col min="3" max="3" width="11.28515625" style="154" customWidth="1"/>
    <col min="4" max="4" width="16.5703125" style="155" customWidth="1"/>
    <col min="5" max="5" width="14.85546875" style="155" customWidth="1"/>
    <col min="6" max="6" width="15.7109375" style="156" customWidth="1"/>
    <col min="7" max="7" width="10.42578125" style="156" customWidth="1"/>
    <col min="8" max="8" width="11.85546875" style="164" customWidth="1"/>
    <col min="9" max="9" width="7.7109375" style="157" hidden="1" customWidth="1"/>
    <col min="10" max="10" width="16" style="156" customWidth="1"/>
    <col min="11" max="11" width="15.140625" style="156" customWidth="1"/>
    <col min="12" max="12" width="10.28515625" style="164" customWidth="1"/>
    <col min="13" max="13" width="13.28515625" style="164" customWidth="1"/>
    <col min="14" max="14" width="18.7109375" style="122" hidden="1" customWidth="1"/>
    <col min="15" max="1025" width="9.140625" style="122" hidden="1" customWidth="1"/>
    <col min="1026" max="16384" width="9.140625" hidden="1"/>
  </cols>
  <sheetData>
    <row r="1" spans="1:14" s="119" customFormat="1" ht="17.25" customHeight="1">
      <c r="B1" s="120"/>
      <c r="C1" s="121"/>
      <c r="D1" s="176" t="s">
        <v>243</v>
      </c>
      <c r="E1" s="176"/>
      <c r="F1" s="176"/>
      <c r="G1" s="176"/>
      <c r="H1" s="176"/>
      <c r="I1" s="176"/>
      <c r="J1" s="176"/>
      <c r="K1" s="176"/>
      <c r="L1" s="176"/>
      <c r="M1" s="176"/>
      <c r="N1" s="122"/>
    </row>
    <row r="2" spans="1:14" s="119" customFormat="1" ht="16.5" customHeight="1" thickBot="1">
      <c r="B2" s="177" t="s">
        <v>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22"/>
    </row>
    <row r="3" spans="1:14" s="119" customFormat="1" ht="17.25" hidden="1" customHeight="1">
      <c r="B3" s="123"/>
      <c r="C3" s="123"/>
      <c r="D3" s="124" t="s">
        <v>4</v>
      </c>
      <c r="E3" s="124"/>
      <c r="F3" s="125" t="s">
        <v>5</v>
      </c>
      <c r="G3" s="125"/>
      <c r="H3" s="162"/>
      <c r="I3" s="126"/>
      <c r="J3" s="125"/>
      <c r="K3" s="127"/>
      <c r="L3" s="162"/>
      <c r="M3" s="162"/>
      <c r="N3" s="122"/>
    </row>
    <row r="4" spans="1:14" ht="57" customHeight="1">
      <c r="B4" s="178" t="s">
        <v>7</v>
      </c>
      <c r="C4" s="178"/>
      <c r="D4" s="128" t="s">
        <v>8</v>
      </c>
      <c r="E4" s="128" t="s">
        <v>186</v>
      </c>
      <c r="F4" s="128" t="s">
        <v>9</v>
      </c>
      <c r="G4" s="128" t="s">
        <v>186</v>
      </c>
      <c r="H4" s="128" t="s">
        <v>187</v>
      </c>
      <c r="I4" s="128" t="s">
        <v>188</v>
      </c>
      <c r="J4" s="128" t="s">
        <v>244</v>
      </c>
      <c r="K4" s="128" t="s">
        <v>246</v>
      </c>
      <c r="L4" s="128" t="s">
        <v>189</v>
      </c>
      <c r="M4" s="129" t="s">
        <v>12</v>
      </c>
      <c r="N4" s="11" t="s">
        <v>190</v>
      </c>
    </row>
    <row r="5" spans="1:14" s="135" customFormat="1" ht="15.95" customHeight="1">
      <c r="A5" t="str">
        <f t="shared" ref="A5:A68" si="0">IF(SUM(D5:G5,J5:K5)&lt;&gt;0,"",1)</f>
        <v/>
      </c>
      <c r="B5" s="175" t="s">
        <v>191</v>
      </c>
      <c r="C5" s="130" t="s">
        <v>192</v>
      </c>
      <c r="D5" s="131">
        <f>SUM(D6:D12)</f>
        <v>1626213</v>
      </c>
      <c r="E5" s="131">
        <f>SUM(E6:E12)</f>
        <v>4577</v>
      </c>
      <c r="F5" s="132">
        <f>SUM(F6:F12)</f>
        <v>888436</v>
      </c>
      <c r="G5" s="131">
        <f>SUM(G6:G12)</f>
        <v>0</v>
      </c>
      <c r="H5" s="163">
        <f t="shared" ref="H5:H68" si="1">IF(D5&lt;&gt;0,IFERROR(F5/D5,"-"),"-")</f>
        <v>0.54632203776504062</v>
      </c>
      <c r="I5" s="133"/>
      <c r="J5" s="131">
        <f>SUM(J6:J12)</f>
        <v>513145</v>
      </c>
      <c r="K5" s="131">
        <f>SUM(K6:K12)</f>
        <v>847147</v>
      </c>
      <c r="L5" s="163">
        <f>IF(F5&lt;&gt;0,IFERROR(K5/F5,"-"),"-")</f>
        <v>0.95352619659716631</v>
      </c>
      <c r="M5" s="163">
        <f>IF(J5&lt;&gt;0,IFERROR(K5/D5,"-"),"-")</f>
        <v>0.52093237478731258</v>
      </c>
      <c r="N5" s="134" t="s">
        <v>18</v>
      </c>
    </row>
    <row r="6" spans="1:14" s="135" customFormat="1" ht="15.95" customHeight="1">
      <c r="A6">
        <f t="shared" si="0"/>
        <v>1</v>
      </c>
      <c r="B6" s="175"/>
      <c r="C6" s="130" t="s">
        <v>193</v>
      </c>
      <c r="D6" s="136">
        <f>D14+D20+D38+D68+D104+D122+D129+D110+D116</f>
        <v>0</v>
      </c>
      <c r="E6" s="136">
        <f>E14+E20+E38+E68+E104+E122+E129+E110+E116</f>
        <v>0</v>
      </c>
      <c r="F6" s="136">
        <f>F14+F20+F38+F68+F104+F122+F129+F110+F116</f>
        <v>0</v>
      </c>
      <c r="G6" s="136">
        <f>G14+G20+G38+G68+G104+G122+G129+G110+G116</f>
        <v>0</v>
      </c>
      <c r="H6" s="163" t="str">
        <f t="shared" si="1"/>
        <v>-</v>
      </c>
      <c r="I6" s="133"/>
      <c r="J6" s="136">
        <f>J14+J20+J38+J68+J104+J122+J129+J110+J116</f>
        <v>0</v>
      </c>
      <c r="K6" s="136">
        <f>K14+K20+K38+K68+K104+K122+K129+K110+K116</f>
        <v>0</v>
      </c>
      <c r="L6" s="163" t="str">
        <f t="shared" ref="L6:L68" si="2">IF(F6&lt;&gt;0,IFERROR(K6/F6,"-"),"-")</f>
        <v>-</v>
      </c>
      <c r="M6" s="163" t="str">
        <f t="shared" ref="M6:M16" si="3">IF(J6&lt;&gt;0,IFERROR(K6/D6,"-"),"-")</f>
        <v>-</v>
      </c>
      <c r="N6" s="134" t="s">
        <v>18</v>
      </c>
    </row>
    <row r="7" spans="1:14" s="135" customFormat="1" ht="15.95" customHeight="1">
      <c r="A7" t="str">
        <f t="shared" si="0"/>
        <v/>
      </c>
      <c r="B7" s="175"/>
      <c r="C7" s="130" t="s">
        <v>194</v>
      </c>
      <c r="D7" s="137">
        <f>D15+D21+D39+D69+D105+D117+D123+D130</f>
        <v>1183031</v>
      </c>
      <c r="E7" s="137"/>
      <c r="F7" s="137">
        <f>F15+F21+F39+F69+F105+F117+F123+F130</f>
        <v>344204</v>
      </c>
      <c r="G7" s="137"/>
      <c r="H7" s="163">
        <f t="shared" si="1"/>
        <v>0.29095095563852513</v>
      </c>
      <c r="I7" s="133"/>
      <c r="J7" s="137">
        <f>J15+J21+J39+J69+J105+J117+J123+J130</f>
        <v>197823</v>
      </c>
      <c r="K7" s="137">
        <f>K15+K21+K39+K69+K105+K117+K123+K130</f>
        <v>342045</v>
      </c>
      <c r="L7" s="163">
        <f t="shared" si="2"/>
        <v>0.99372755691392312</v>
      </c>
      <c r="M7" s="163">
        <f t="shared" si="3"/>
        <v>0.28912598232844278</v>
      </c>
      <c r="N7" s="134" t="s">
        <v>18</v>
      </c>
    </row>
    <row r="8" spans="1:14" s="135" customFormat="1" ht="15.95" customHeight="1">
      <c r="A8">
        <f t="shared" si="0"/>
        <v>1</v>
      </c>
      <c r="B8" s="175"/>
      <c r="C8" s="130" t="s">
        <v>195</v>
      </c>
      <c r="D8" s="137"/>
      <c r="E8" s="137"/>
      <c r="F8" s="137"/>
      <c r="G8" s="137"/>
      <c r="H8" s="163" t="str">
        <f t="shared" si="1"/>
        <v>-</v>
      </c>
      <c r="I8" s="133"/>
      <c r="J8" s="137"/>
      <c r="K8" s="137"/>
      <c r="L8" s="163" t="str">
        <f t="shared" si="2"/>
        <v>-</v>
      </c>
      <c r="M8" s="163" t="str">
        <f t="shared" si="3"/>
        <v>-</v>
      </c>
      <c r="N8" s="134" t="s">
        <v>18</v>
      </c>
    </row>
    <row r="9" spans="1:14" s="135" customFormat="1" ht="15.95" customHeight="1">
      <c r="A9">
        <f t="shared" si="0"/>
        <v>1</v>
      </c>
      <c r="B9" s="175"/>
      <c r="C9" s="130" t="s">
        <v>196</v>
      </c>
      <c r="D9" s="137"/>
      <c r="E9" s="137"/>
      <c r="F9" s="137"/>
      <c r="G9" s="137">
        <f>G15+G21+G39+G69+G105+G117+G123+G130</f>
        <v>0</v>
      </c>
      <c r="H9" s="163" t="str">
        <f t="shared" si="1"/>
        <v>-</v>
      </c>
      <c r="I9" s="133"/>
      <c r="J9" s="137"/>
      <c r="K9" s="137"/>
      <c r="L9" s="163" t="str">
        <f t="shared" si="2"/>
        <v>-</v>
      </c>
      <c r="M9" s="163" t="str">
        <f t="shared" ref="M9:M20" si="4">IF(J9&lt;&gt;0,IFERROR(K9/J9,"-"),"-")</f>
        <v>-</v>
      </c>
      <c r="N9" s="134" t="s">
        <v>18</v>
      </c>
    </row>
    <row r="10" spans="1:14" s="135" customFormat="1" ht="15.95" customHeight="1">
      <c r="A10" t="str">
        <f t="shared" si="0"/>
        <v/>
      </c>
      <c r="B10" s="175"/>
      <c r="C10" s="130" t="s">
        <v>197</v>
      </c>
      <c r="D10" s="136">
        <f>D16+D22+D40+D70+D106+D124+D131+D112+D118+D127</f>
        <v>443182</v>
      </c>
      <c r="E10" s="136">
        <f>E16+E22+E40+E70+E106+E124+E131+E112+E118+E127</f>
        <v>4577</v>
      </c>
      <c r="F10" s="136">
        <f>F16+F22+F40+F70+F106+F124+F131+F112+F118+F127</f>
        <v>544232</v>
      </c>
      <c r="G10" s="136">
        <f>G16+G22+G40+G70+G106+G124+G131+G112+G118+G127</f>
        <v>0</v>
      </c>
      <c r="H10" s="163">
        <f t="shared" si="1"/>
        <v>1.2280101628676254</v>
      </c>
      <c r="I10" s="133"/>
      <c r="J10" s="136">
        <f>J16+J22+J40+J70+J106+J124+J131+J112+J118+J127</f>
        <v>315322</v>
      </c>
      <c r="K10" s="136">
        <f>K16+K22+K40+K70+K106+K124+K131+K112+K118+K127</f>
        <v>505102</v>
      </c>
      <c r="L10" s="163">
        <f t="shared" si="2"/>
        <v>0.92810051595643039</v>
      </c>
      <c r="M10" s="163">
        <f t="shared" si="3"/>
        <v>1.1397168657571832</v>
      </c>
      <c r="N10" s="134" t="s">
        <v>18</v>
      </c>
    </row>
    <row r="11" spans="1:14" s="135" customFormat="1" ht="15.95" customHeight="1">
      <c r="A11">
        <f t="shared" si="0"/>
        <v>1</v>
      </c>
      <c r="B11" s="175"/>
      <c r="C11" s="130" t="s">
        <v>198</v>
      </c>
      <c r="D11" s="136">
        <f t="shared" ref="D11:G12" si="5">D17+D23+D41+D71+D107+D125+D132+D113+D119</f>
        <v>0</v>
      </c>
      <c r="E11" s="136">
        <f t="shared" si="5"/>
        <v>0</v>
      </c>
      <c r="F11" s="136">
        <f t="shared" si="5"/>
        <v>0</v>
      </c>
      <c r="G11" s="136">
        <f t="shared" si="5"/>
        <v>0</v>
      </c>
      <c r="H11" s="163" t="str">
        <f t="shared" si="1"/>
        <v>-</v>
      </c>
      <c r="I11" s="133"/>
      <c r="J11" s="136">
        <f>J17+J23+J41+J71+J107+J125+J132+J113+J119</f>
        <v>0</v>
      </c>
      <c r="K11" s="136">
        <f>K17+K23+K41+K71+K107+K125+K132+K113+K119</f>
        <v>0</v>
      </c>
      <c r="L11" s="163" t="str">
        <f t="shared" si="2"/>
        <v>-</v>
      </c>
      <c r="M11" s="163" t="str">
        <f t="shared" si="3"/>
        <v>-</v>
      </c>
      <c r="N11" s="134" t="s">
        <v>18</v>
      </c>
    </row>
    <row r="12" spans="1:14" s="135" customFormat="1" ht="15.95" customHeight="1">
      <c r="A12">
        <f t="shared" si="0"/>
        <v>1</v>
      </c>
      <c r="B12" s="175"/>
      <c r="C12" s="130" t="s">
        <v>199</v>
      </c>
      <c r="D12" s="136">
        <f t="shared" si="5"/>
        <v>0</v>
      </c>
      <c r="E12" s="136">
        <f t="shared" si="5"/>
        <v>0</v>
      </c>
      <c r="F12" s="136">
        <f t="shared" si="5"/>
        <v>0</v>
      </c>
      <c r="G12" s="136">
        <f t="shared" si="5"/>
        <v>0</v>
      </c>
      <c r="H12" s="163" t="str">
        <f t="shared" si="1"/>
        <v>-</v>
      </c>
      <c r="I12" s="133"/>
      <c r="J12" s="136">
        <f>J18+J24+J42+J72+J108+J126+J133+J114+J120</f>
        <v>0</v>
      </c>
      <c r="K12" s="136">
        <f>K18+K24+K42+K72+K108+K126+K133+K114+K120</f>
        <v>0</v>
      </c>
      <c r="L12" s="163" t="str">
        <f t="shared" si="2"/>
        <v>-</v>
      </c>
      <c r="M12" s="163" t="str">
        <f t="shared" si="3"/>
        <v>-</v>
      </c>
      <c r="N12" s="134" t="s">
        <v>18</v>
      </c>
    </row>
    <row r="13" spans="1:14" s="139" customFormat="1" ht="15.95" customHeight="1">
      <c r="A13" t="str">
        <f t="shared" si="0"/>
        <v/>
      </c>
      <c r="B13" s="175" t="s">
        <v>200</v>
      </c>
      <c r="C13" s="130" t="s">
        <v>192</v>
      </c>
      <c r="D13" s="131">
        <f>SUM(D14:D18)</f>
        <v>83215</v>
      </c>
      <c r="E13" s="131">
        <f>SUM(E14:E18)</f>
        <v>0</v>
      </c>
      <c r="F13" s="132">
        <f>SUM(F14:F18)</f>
        <v>90666</v>
      </c>
      <c r="G13" s="131">
        <f>SUM(G14:G18)</f>
        <v>0</v>
      </c>
      <c r="H13" s="163">
        <f t="shared" si="1"/>
        <v>1.0895391455867331</v>
      </c>
      <c r="I13" s="133"/>
      <c r="J13" s="131">
        <f>SUM(J14:J18)</f>
        <v>57666</v>
      </c>
      <c r="K13" s="132">
        <f>SUM(K14:K18)</f>
        <v>81813</v>
      </c>
      <c r="L13" s="163">
        <f t="shared" si="2"/>
        <v>0.90235589967573293</v>
      </c>
      <c r="M13" s="163">
        <f t="shared" si="3"/>
        <v>0.98315207594784593</v>
      </c>
      <c r="N13" s="138" t="s">
        <v>201</v>
      </c>
    </row>
    <row r="14" spans="1:14" s="135" customFormat="1" ht="15.95" customHeight="1">
      <c r="A14">
        <f t="shared" si="0"/>
        <v>1</v>
      </c>
      <c r="B14" s="175"/>
      <c r="C14" s="130" t="s">
        <v>193</v>
      </c>
      <c r="D14" s="140"/>
      <c r="E14" s="141"/>
      <c r="F14" s="142"/>
      <c r="G14" s="137"/>
      <c r="H14" s="163" t="str">
        <f t="shared" si="1"/>
        <v>-</v>
      </c>
      <c r="I14" s="133"/>
      <c r="J14" s="140"/>
      <c r="K14" s="143"/>
      <c r="L14" s="163" t="str">
        <f t="shared" si="2"/>
        <v>-</v>
      </c>
      <c r="M14" s="163" t="str">
        <f t="shared" si="3"/>
        <v>-</v>
      </c>
      <c r="N14" s="138" t="s">
        <v>25</v>
      </c>
    </row>
    <row r="15" spans="1:14" s="135" customFormat="1" ht="15.95" customHeight="1">
      <c r="A15" t="str">
        <f t="shared" si="0"/>
        <v/>
      </c>
      <c r="B15" s="175"/>
      <c r="C15" s="130" t="s">
        <v>202</v>
      </c>
      <c r="D15" s="140">
        <f>615+885+3206+60</f>
        <v>4766</v>
      </c>
      <c r="E15" s="141"/>
      <c r="F15" s="142">
        <f>11+695+618+829</f>
        <v>2153</v>
      </c>
      <c r="G15" s="137"/>
      <c r="H15" s="163">
        <f t="shared" si="1"/>
        <v>0.45174150230801513</v>
      </c>
      <c r="I15" s="133"/>
      <c r="J15" s="140">
        <f>468+620</f>
        <v>1088</v>
      </c>
      <c r="K15" s="143">
        <v>2153</v>
      </c>
      <c r="L15" s="163">
        <f t="shared" si="2"/>
        <v>1</v>
      </c>
      <c r="M15" s="163">
        <f t="shared" si="3"/>
        <v>0.45174150230801513</v>
      </c>
      <c r="N15" s="138" t="s">
        <v>25</v>
      </c>
    </row>
    <row r="16" spans="1:14" s="135" customFormat="1" ht="15.95" customHeight="1">
      <c r="A16" t="str">
        <f t="shared" si="0"/>
        <v/>
      </c>
      <c r="B16" s="175"/>
      <c r="C16" s="130" t="s">
        <v>197</v>
      </c>
      <c r="D16" s="140">
        <f>83215-D15</f>
        <v>78449</v>
      </c>
      <c r="E16" s="141"/>
      <c r="F16" s="142">
        <f>90666-F15</f>
        <v>88513</v>
      </c>
      <c r="G16" s="137"/>
      <c r="H16" s="163">
        <f t="shared" si="1"/>
        <v>1.1282871674591135</v>
      </c>
      <c r="I16" s="133"/>
      <c r="J16" s="140">
        <f>57666-J15</f>
        <v>56578</v>
      </c>
      <c r="K16" s="143">
        <v>79660</v>
      </c>
      <c r="L16" s="163">
        <f t="shared" si="2"/>
        <v>0.89998079378170437</v>
      </c>
      <c r="M16" s="163">
        <f t="shared" si="3"/>
        <v>1.0154367805835638</v>
      </c>
      <c r="N16" s="138" t="s">
        <v>25</v>
      </c>
    </row>
    <row r="17" spans="1:14" s="135" customFormat="1" ht="15.95" customHeight="1">
      <c r="A17">
        <f t="shared" si="0"/>
        <v>1</v>
      </c>
      <c r="B17" s="175"/>
      <c r="C17" s="130" t="s">
        <v>198</v>
      </c>
      <c r="D17" s="140"/>
      <c r="E17" s="141"/>
      <c r="F17" s="142"/>
      <c r="G17" s="137"/>
      <c r="H17" s="163" t="str">
        <f t="shared" si="1"/>
        <v>-</v>
      </c>
      <c r="I17" s="133"/>
      <c r="J17" s="140"/>
      <c r="K17" s="143"/>
      <c r="L17" s="163" t="str">
        <f t="shared" si="2"/>
        <v>-</v>
      </c>
      <c r="M17" s="163" t="str">
        <f t="shared" si="4"/>
        <v>-</v>
      </c>
      <c r="N17" s="138" t="s">
        <v>25</v>
      </c>
    </row>
    <row r="18" spans="1:14" s="135" customFormat="1" ht="15.95" customHeight="1">
      <c r="A18">
        <f t="shared" si="0"/>
        <v>1</v>
      </c>
      <c r="B18" s="175"/>
      <c r="C18" s="130" t="s">
        <v>199</v>
      </c>
      <c r="D18" s="140"/>
      <c r="E18" s="141"/>
      <c r="F18" s="142"/>
      <c r="G18" s="137"/>
      <c r="H18" s="163" t="str">
        <f t="shared" si="1"/>
        <v>-</v>
      </c>
      <c r="I18" s="133"/>
      <c r="J18" s="140"/>
      <c r="K18" s="143"/>
      <c r="L18" s="163" t="str">
        <f t="shared" si="2"/>
        <v>-</v>
      </c>
      <c r="M18" s="163" t="str">
        <f t="shared" si="4"/>
        <v>-</v>
      </c>
      <c r="N18" s="138" t="s">
        <v>25</v>
      </c>
    </row>
    <row r="19" spans="1:14" s="139" customFormat="1" ht="15.95" customHeight="1">
      <c r="A19" t="str">
        <f t="shared" si="0"/>
        <v/>
      </c>
      <c r="B19" s="175" t="s">
        <v>203</v>
      </c>
      <c r="C19" s="130" t="s">
        <v>192</v>
      </c>
      <c r="D19" s="131">
        <f>SUM(D20:D24)</f>
        <v>970338</v>
      </c>
      <c r="E19" s="131">
        <f>SUM(E20:E24)</f>
        <v>849418</v>
      </c>
      <c r="F19" s="132">
        <f>SUM(F20:F24)</f>
        <v>129982</v>
      </c>
      <c r="G19" s="131">
        <f>SUM(G20:G24)</f>
        <v>0</v>
      </c>
      <c r="H19" s="163">
        <f t="shared" si="1"/>
        <v>0.13395538461855561</v>
      </c>
      <c r="I19" s="133"/>
      <c r="J19" s="131">
        <f>SUM(J20:J24)</f>
        <v>56350</v>
      </c>
      <c r="K19" s="132">
        <f>SUM(K20:K24)</f>
        <v>121883</v>
      </c>
      <c r="L19" s="163">
        <f t="shared" si="2"/>
        <v>0.93769137265159797</v>
      </c>
      <c r="M19" s="163">
        <f t="shared" ref="M19:M82" si="6">IF(J19&lt;&gt;0,IFERROR(K19/D19,"-"),"-")</f>
        <v>0.12560880847704614</v>
      </c>
      <c r="N19" s="138" t="s">
        <v>204</v>
      </c>
    </row>
    <row r="20" spans="1:14" s="135" customFormat="1" ht="15.95" customHeight="1">
      <c r="A20">
        <f t="shared" si="0"/>
        <v>1</v>
      </c>
      <c r="B20" s="175"/>
      <c r="C20" s="130" t="s">
        <v>193</v>
      </c>
      <c r="D20" s="140">
        <f>D26+D32</f>
        <v>0</v>
      </c>
      <c r="E20" s="140">
        <f>E26+E32</f>
        <v>0</v>
      </c>
      <c r="F20" s="140">
        <f>F26+F32</f>
        <v>0</v>
      </c>
      <c r="G20" s="140">
        <f>G26+G32</f>
        <v>0</v>
      </c>
      <c r="H20" s="163" t="str">
        <f t="shared" si="1"/>
        <v>-</v>
      </c>
      <c r="I20" s="133"/>
      <c r="J20" s="140">
        <f>J26+J32</f>
        <v>0</v>
      </c>
      <c r="K20" s="140">
        <f>K26+K32</f>
        <v>0</v>
      </c>
      <c r="L20" s="163" t="str">
        <f t="shared" si="2"/>
        <v>-</v>
      </c>
      <c r="M20" s="163" t="str">
        <f t="shared" si="4"/>
        <v>-</v>
      </c>
      <c r="N20" s="138" t="s">
        <v>25</v>
      </c>
    </row>
    <row r="21" spans="1:14" s="135" customFormat="1" ht="15.95" customHeight="1">
      <c r="A21" t="str">
        <f t="shared" si="0"/>
        <v/>
      </c>
      <c r="B21" s="175"/>
      <c r="C21" s="130" t="s">
        <v>202</v>
      </c>
      <c r="D21" s="140">
        <f t="shared" ref="D21:F24" si="7">D27+D33</f>
        <v>891265</v>
      </c>
      <c r="E21" s="140">
        <f>E27+E33</f>
        <v>849418</v>
      </c>
      <c r="F21" s="140">
        <f t="shared" si="7"/>
        <v>26323</v>
      </c>
      <c r="G21" s="140">
        <f>G27+G33</f>
        <v>0</v>
      </c>
      <c r="H21" s="163">
        <f t="shared" si="1"/>
        <v>2.9534425788065279E-2</v>
      </c>
      <c r="I21" s="133"/>
      <c r="J21" s="140">
        <f t="shared" ref="J21:K24" si="8">J27+J33</f>
        <v>14393</v>
      </c>
      <c r="K21" s="140">
        <f t="shared" si="8"/>
        <v>24487</v>
      </c>
      <c r="L21" s="163">
        <f t="shared" si="2"/>
        <v>0.93025111119553239</v>
      </c>
      <c r="M21" s="163">
        <f t="shared" si="6"/>
        <v>2.7474432407869714E-2</v>
      </c>
      <c r="N21" s="138" t="s">
        <v>25</v>
      </c>
    </row>
    <row r="22" spans="1:14" s="135" customFormat="1" ht="15.95" customHeight="1">
      <c r="A22" t="str">
        <f t="shared" si="0"/>
        <v/>
      </c>
      <c r="B22" s="175"/>
      <c r="C22" s="130" t="s">
        <v>197</v>
      </c>
      <c r="D22" s="140">
        <f t="shared" si="7"/>
        <v>79073</v>
      </c>
      <c r="E22" s="140">
        <f>E28+E34</f>
        <v>0</v>
      </c>
      <c r="F22" s="140">
        <f t="shared" si="7"/>
        <v>103659</v>
      </c>
      <c r="G22" s="140">
        <f>G28+G34</f>
        <v>0</v>
      </c>
      <c r="H22" s="163">
        <f t="shared" si="1"/>
        <v>1.3109278767720967</v>
      </c>
      <c r="I22" s="133"/>
      <c r="J22" s="140">
        <f t="shared" si="8"/>
        <v>41957</v>
      </c>
      <c r="K22" s="140">
        <f>K28+K34</f>
        <v>97396</v>
      </c>
      <c r="L22" s="163">
        <f t="shared" si="2"/>
        <v>0.93958074069786512</v>
      </c>
      <c r="M22" s="163">
        <f t="shared" si="6"/>
        <v>1.2317225854590061</v>
      </c>
      <c r="N22" s="138" t="s">
        <v>25</v>
      </c>
    </row>
    <row r="23" spans="1:14" s="135" customFormat="1" ht="15.95" customHeight="1">
      <c r="A23">
        <f t="shared" si="0"/>
        <v>1</v>
      </c>
      <c r="B23" s="175"/>
      <c r="C23" s="130" t="s">
        <v>198</v>
      </c>
      <c r="D23" s="140">
        <f t="shared" si="7"/>
        <v>0</v>
      </c>
      <c r="E23" s="140">
        <f>E29+E35</f>
        <v>0</v>
      </c>
      <c r="F23" s="140">
        <f t="shared" si="7"/>
        <v>0</v>
      </c>
      <c r="G23" s="140">
        <f>G29+G35</f>
        <v>0</v>
      </c>
      <c r="H23" s="163" t="str">
        <f t="shared" si="1"/>
        <v>-</v>
      </c>
      <c r="I23" s="133"/>
      <c r="J23" s="140">
        <f t="shared" si="8"/>
        <v>0</v>
      </c>
      <c r="K23" s="140">
        <f t="shared" si="8"/>
        <v>0</v>
      </c>
      <c r="L23" s="163" t="str">
        <f t="shared" si="2"/>
        <v>-</v>
      </c>
      <c r="M23" s="163" t="str">
        <f t="shared" si="6"/>
        <v>-</v>
      </c>
      <c r="N23" s="138" t="s">
        <v>25</v>
      </c>
    </row>
    <row r="24" spans="1:14" s="135" customFormat="1" ht="15.95" customHeight="1">
      <c r="A24">
        <f t="shared" si="0"/>
        <v>1</v>
      </c>
      <c r="B24" s="175"/>
      <c r="C24" s="130" t="s">
        <v>199</v>
      </c>
      <c r="D24" s="140">
        <f t="shared" si="7"/>
        <v>0</v>
      </c>
      <c r="E24" s="140">
        <f>E30+E36</f>
        <v>0</v>
      </c>
      <c r="F24" s="140">
        <f t="shared" si="7"/>
        <v>0</v>
      </c>
      <c r="G24" s="140">
        <f>G30+G36</f>
        <v>0</v>
      </c>
      <c r="H24" s="163" t="str">
        <f t="shared" si="1"/>
        <v>-</v>
      </c>
      <c r="I24" s="133"/>
      <c r="J24" s="140">
        <f t="shared" si="8"/>
        <v>0</v>
      </c>
      <c r="K24" s="140">
        <f t="shared" si="8"/>
        <v>0</v>
      </c>
      <c r="L24" s="163" t="str">
        <f t="shared" si="2"/>
        <v>-</v>
      </c>
      <c r="M24" s="163" t="str">
        <f t="shared" si="6"/>
        <v>-</v>
      </c>
      <c r="N24" s="138" t="s">
        <v>25</v>
      </c>
    </row>
    <row r="25" spans="1:14" s="144" customFormat="1" ht="15.95" customHeight="1">
      <c r="A25" t="str">
        <f t="shared" si="0"/>
        <v/>
      </c>
      <c r="B25" s="175" t="s">
        <v>205</v>
      </c>
      <c r="C25" s="130" t="s">
        <v>192</v>
      </c>
      <c r="D25" s="131">
        <f>SUM(D26:D30)</f>
        <v>934236</v>
      </c>
      <c r="E25" s="131">
        <f>SUM(E26:E30)</f>
        <v>849418</v>
      </c>
      <c r="F25" s="132">
        <f>SUM(F26:F30)</f>
        <v>85600</v>
      </c>
      <c r="G25" s="131">
        <f>SUM(G26:G30)</f>
        <v>0</v>
      </c>
      <c r="H25" s="163">
        <f t="shared" si="1"/>
        <v>9.1625670601432618E-2</v>
      </c>
      <c r="I25" s="133"/>
      <c r="J25" s="131">
        <f>SUM(J26:J30)</f>
        <v>38120</v>
      </c>
      <c r="K25" s="132">
        <f>SUM(K26:K30)</f>
        <v>77501</v>
      </c>
      <c r="L25" s="163">
        <f t="shared" si="2"/>
        <v>0.90538551401869161</v>
      </c>
      <c r="M25" s="163">
        <f t="shared" si="6"/>
        <v>8.2956554874785385E-2</v>
      </c>
      <c r="N25" s="138" t="s">
        <v>206</v>
      </c>
    </row>
    <row r="26" spans="1:14" s="135" customFormat="1" ht="15.95" customHeight="1">
      <c r="A26">
        <f t="shared" si="0"/>
        <v>1</v>
      </c>
      <c r="B26" s="175"/>
      <c r="C26" s="130" t="s">
        <v>193</v>
      </c>
      <c r="D26" s="140"/>
      <c r="E26" s="141"/>
      <c r="F26" s="142"/>
      <c r="G26" s="137"/>
      <c r="H26" s="163" t="str">
        <f t="shared" si="1"/>
        <v>-</v>
      </c>
      <c r="I26" s="133"/>
      <c r="J26" s="140"/>
      <c r="K26" s="143"/>
      <c r="L26" s="163" t="str">
        <f t="shared" si="2"/>
        <v>-</v>
      </c>
      <c r="M26" s="163" t="str">
        <f t="shared" si="6"/>
        <v>-</v>
      </c>
      <c r="N26" s="138" t="s">
        <v>25</v>
      </c>
    </row>
    <row r="27" spans="1:14" s="135" customFormat="1" ht="15.95" customHeight="1">
      <c r="A27" t="str">
        <f t="shared" si="0"/>
        <v/>
      </c>
      <c r="B27" s="175"/>
      <c r="C27" s="130" t="s">
        <v>202</v>
      </c>
      <c r="D27" s="140">
        <f>425701+423717+24948+14845</f>
        <v>889211</v>
      </c>
      <c r="E27" s="141">
        <f>425701+423717</f>
        <v>849418</v>
      </c>
      <c r="F27" s="142">
        <f>13017+10000</f>
        <v>23017</v>
      </c>
      <c r="G27" s="137"/>
      <c r="H27" s="163">
        <f t="shared" si="1"/>
        <v>2.5884745015524999E-2</v>
      </c>
      <c r="I27" s="133"/>
      <c r="J27" s="140">
        <f>11181</f>
        <v>11181</v>
      </c>
      <c r="K27" s="143">
        <f>11181+10000</f>
        <v>21181</v>
      </c>
      <c r="L27" s="163">
        <f t="shared" si="2"/>
        <v>0.92023287135595433</v>
      </c>
      <c r="M27" s="163">
        <f t="shared" si="6"/>
        <v>2.3819993229953297E-2</v>
      </c>
      <c r="N27" s="138" t="s">
        <v>25</v>
      </c>
    </row>
    <row r="28" spans="1:14" s="135" customFormat="1" ht="15.95" customHeight="1">
      <c r="A28" t="str">
        <f t="shared" si="0"/>
        <v/>
      </c>
      <c r="B28" s="175"/>
      <c r="C28" s="130" t="s">
        <v>197</v>
      </c>
      <c r="D28" s="140">
        <f>934236-D27</f>
        <v>45025</v>
      </c>
      <c r="E28" s="141"/>
      <c r="F28" s="142">
        <f>85600-F27</f>
        <v>62583</v>
      </c>
      <c r="G28" s="137"/>
      <c r="H28" s="163">
        <f t="shared" si="1"/>
        <v>1.3899611327040533</v>
      </c>
      <c r="I28" s="133"/>
      <c r="J28" s="140">
        <f>38120-J27</f>
        <v>26939</v>
      </c>
      <c r="K28" s="143">
        <v>56320</v>
      </c>
      <c r="L28" s="163">
        <f t="shared" si="2"/>
        <v>0.89992489973315437</v>
      </c>
      <c r="M28" s="163">
        <f t="shared" si="6"/>
        <v>1.2508606329816769</v>
      </c>
      <c r="N28" s="138" t="s">
        <v>25</v>
      </c>
    </row>
    <row r="29" spans="1:14" s="135" customFormat="1" ht="15.95" customHeight="1">
      <c r="A29">
        <f t="shared" si="0"/>
        <v>1</v>
      </c>
      <c r="B29" s="175"/>
      <c r="C29" s="130" t="s">
        <v>198</v>
      </c>
      <c r="D29" s="140"/>
      <c r="E29" s="141"/>
      <c r="F29" s="142"/>
      <c r="G29" s="137"/>
      <c r="H29" s="163" t="str">
        <f t="shared" si="1"/>
        <v>-</v>
      </c>
      <c r="I29" s="133"/>
      <c r="J29" s="140"/>
      <c r="K29" s="143"/>
      <c r="L29" s="163" t="str">
        <f t="shared" si="2"/>
        <v>-</v>
      </c>
      <c r="M29" s="163" t="str">
        <f t="shared" si="6"/>
        <v>-</v>
      </c>
      <c r="N29" s="138" t="s">
        <v>25</v>
      </c>
    </row>
    <row r="30" spans="1:14" s="135" customFormat="1" ht="15.95" customHeight="1">
      <c r="A30">
        <f t="shared" si="0"/>
        <v>1</v>
      </c>
      <c r="B30" s="175"/>
      <c r="C30" s="130" t="s">
        <v>199</v>
      </c>
      <c r="D30" s="140"/>
      <c r="E30" s="141"/>
      <c r="F30" s="142"/>
      <c r="G30" s="137"/>
      <c r="H30" s="163" t="str">
        <f t="shared" si="1"/>
        <v>-</v>
      </c>
      <c r="I30" s="133"/>
      <c r="J30" s="140"/>
      <c r="K30" s="143"/>
      <c r="L30" s="163" t="str">
        <f t="shared" si="2"/>
        <v>-</v>
      </c>
      <c r="M30" s="163" t="str">
        <f t="shared" si="6"/>
        <v>-</v>
      </c>
      <c r="N30" s="138" t="s">
        <v>25</v>
      </c>
    </row>
    <row r="31" spans="1:14" s="139" customFormat="1" ht="15.95" customHeight="1">
      <c r="A31" t="str">
        <f t="shared" si="0"/>
        <v/>
      </c>
      <c r="B31" s="175" t="s">
        <v>207</v>
      </c>
      <c r="C31" s="130" t="s">
        <v>192</v>
      </c>
      <c r="D31" s="131">
        <f>SUM(D32:D36)</f>
        <v>36102</v>
      </c>
      <c r="E31" s="131">
        <f>SUM(E32:E36)</f>
        <v>0</v>
      </c>
      <c r="F31" s="132">
        <f>SUM(F32:F36)</f>
        <v>44382</v>
      </c>
      <c r="G31" s="131">
        <f>SUM(G32:G36)</f>
        <v>0</v>
      </c>
      <c r="H31" s="163">
        <f t="shared" si="1"/>
        <v>1.2293501745055675</v>
      </c>
      <c r="I31" s="133"/>
      <c r="J31" s="131">
        <f>SUM(J32:J36)</f>
        <v>18230</v>
      </c>
      <c r="K31" s="132">
        <f>SUM(K32:K36)</f>
        <v>44382</v>
      </c>
      <c r="L31" s="163">
        <f t="shared" si="2"/>
        <v>1</v>
      </c>
      <c r="M31" s="163">
        <f t="shared" si="6"/>
        <v>1.2293501745055675</v>
      </c>
      <c r="N31" s="138" t="s">
        <v>208</v>
      </c>
    </row>
    <row r="32" spans="1:14" s="135" customFormat="1" ht="15.95" customHeight="1">
      <c r="A32">
        <f t="shared" si="0"/>
        <v>1</v>
      </c>
      <c r="B32" s="175"/>
      <c r="C32" s="130" t="s">
        <v>193</v>
      </c>
      <c r="D32" s="140"/>
      <c r="E32" s="141"/>
      <c r="F32" s="142"/>
      <c r="G32" s="137"/>
      <c r="H32" s="163" t="str">
        <f t="shared" si="1"/>
        <v>-</v>
      </c>
      <c r="I32" s="133"/>
      <c r="J32" s="140"/>
      <c r="K32" s="143"/>
      <c r="L32" s="163" t="str">
        <f t="shared" si="2"/>
        <v>-</v>
      </c>
      <c r="M32" s="163" t="str">
        <f t="shared" si="6"/>
        <v>-</v>
      </c>
      <c r="N32" s="138" t="s">
        <v>25</v>
      </c>
    </row>
    <row r="33" spans="1:14" s="135" customFormat="1" ht="15.95" customHeight="1">
      <c r="A33" t="str">
        <f t="shared" si="0"/>
        <v/>
      </c>
      <c r="B33" s="175"/>
      <c r="C33" s="130" t="s">
        <v>202</v>
      </c>
      <c r="D33" s="140">
        <f>17+2000+37</f>
        <v>2054</v>
      </c>
      <c r="E33" s="141"/>
      <c r="F33" s="142">
        <f>1212+2000+77+17</f>
        <v>3306</v>
      </c>
      <c r="G33" s="137"/>
      <c r="H33" s="163">
        <f t="shared" si="1"/>
        <v>1.6095423563777995</v>
      </c>
      <c r="I33" s="133"/>
      <c r="J33" s="137">
        <f>1212+2000</f>
        <v>3212</v>
      </c>
      <c r="K33" s="145">
        <v>3306</v>
      </c>
      <c r="L33" s="163">
        <f t="shared" si="2"/>
        <v>1</v>
      </c>
      <c r="M33" s="163">
        <f t="shared" si="6"/>
        <v>1.6095423563777995</v>
      </c>
      <c r="N33" s="138" t="s">
        <v>25</v>
      </c>
    </row>
    <row r="34" spans="1:14" s="135" customFormat="1" ht="15.95" customHeight="1">
      <c r="A34" t="str">
        <f t="shared" si="0"/>
        <v/>
      </c>
      <c r="B34" s="175"/>
      <c r="C34" s="130" t="s">
        <v>197</v>
      </c>
      <c r="D34" s="140">
        <f>970338-D33-D27-D28</f>
        <v>34048</v>
      </c>
      <c r="E34" s="141"/>
      <c r="F34" s="142">
        <f>129982-F33-F27-F28</f>
        <v>41076</v>
      </c>
      <c r="G34" s="137"/>
      <c r="H34" s="163">
        <f t="shared" si="1"/>
        <v>1.2064144736842106</v>
      </c>
      <c r="I34" s="133"/>
      <c r="J34" s="137">
        <f>56350-J33-J28-J27</f>
        <v>15018</v>
      </c>
      <c r="K34" s="145">
        <v>41076</v>
      </c>
      <c r="L34" s="163">
        <f t="shared" si="2"/>
        <v>1</v>
      </c>
      <c r="M34" s="163">
        <f t="shared" si="6"/>
        <v>1.2064144736842106</v>
      </c>
      <c r="N34" s="138" t="s">
        <v>25</v>
      </c>
    </row>
    <row r="35" spans="1:14" s="135" customFormat="1" ht="15.95" customHeight="1">
      <c r="A35">
        <f t="shared" si="0"/>
        <v>1</v>
      </c>
      <c r="B35" s="175"/>
      <c r="C35" s="130" t="s">
        <v>198</v>
      </c>
      <c r="D35" s="140"/>
      <c r="E35" s="141"/>
      <c r="F35" s="142"/>
      <c r="G35" s="137"/>
      <c r="H35" s="163" t="str">
        <f t="shared" si="1"/>
        <v>-</v>
      </c>
      <c r="I35" s="133"/>
      <c r="J35" s="140"/>
      <c r="K35" s="143"/>
      <c r="L35" s="163" t="str">
        <f t="shared" si="2"/>
        <v>-</v>
      </c>
      <c r="M35" s="163" t="str">
        <f t="shared" si="6"/>
        <v>-</v>
      </c>
      <c r="N35" s="138" t="s">
        <v>25</v>
      </c>
    </row>
    <row r="36" spans="1:14" s="135" customFormat="1" ht="15.95" customHeight="1">
      <c r="A36">
        <f t="shared" si="0"/>
        <v>1</v>
      </c>
      <c r="B36" s="175"/>
      <c r="C36" s="130" t="s">
        <v>199</v>
      </c>
      <c r="D36" s="140"/>
      <c r="E36" s="141"/>
      <c r="F36" s="142"/>
      <c r="G36" s="137"/>
      <c r="H36" s="163" t="str">
        <f t="shared" si="1"/>
        <v>-</v>
      </c>
      <c r="I36" s="133"/>
      <c r="J36" s="140"/>
      <c r="K36" s="143"/>
      <c r="L36" s="163" t="str">
        <f t="shared" si="2"/>
        <v>-</v>
      </c>
      <c r="M36" s="163" t="str">
        <f t="shared" si="6"/>
        <v>-</v>
      </c>
      <c r="N36" s="138" t="s">
        <v>25</v>
      </c>
    </row>
    <row r="37" spans="1:14" s="139" customFormat="1" ht="15.95" customHeight="1">
      <c r="A37" t="str">
        <f t="shared" si="0"/>
        <v/>
      </c>
      <c r="B37" s="175" t="s">
        <v>209</v>
      </c>
      <c r="C37" s="130" t="s">
        <v>192</v>
      </c>
      <c r="D37" s="131">
        <f>SUM(D38:D42)</f>
        <v>153921</v>
      </c>
      <c r="E37" s="131">
        <f>SUM(E38:E42)</f>
        <v>20696</v>
      </c>
      <c r="F37" s="132">
        <f>SUM(F38:F42)</f>
        <v>281933</v>
      </c>
      <c r="G37" s="131">
        <f>SUM(G38:G42)</f>
        <v>0</v>
      </c>
      <c r="H37" s="163">
        <f t="shared" si="1"/>
        <v>1.8316733908953293</v>
      </c>
      <c r="I37" s="133"/>
      <c r="J37" s="131">
        <f>SUM(J38:J42)</f>
        <v>129025</v>
      </c>
      <c r="K37" s="132">
        <f>SUM(K38:K42)</f>
        <v>266843</v>
      </c>
      <c r="L37" s="163">
        <f t="shared" si="2"/>
        <v>0.946476645160375</v>
      </c>
      <c r="M37" s="163">
        <f t="shared" si="6"/>
        <v>1.7336360860441395</v>
      </c>
      <c r="N37" s="138" t="s">
        <v>210</v>
      </c>
    </row>
    <row r="38" spans="1:14" s="135" customFormat="1" ht="15.95" customHeight="1">
      <c r="A38">
        <f t="shared" si="0"/>
        <v>1</v>
      </c>
      <c r="B38" s="175"/>
      <c r="C38" s="130" t="s">
        <v>193</v>
      </c>
      <c r="D38" s="140">
        <f>D44+D50+D56+D62</f>
        <v>0</v>
      </c>
      <c r="E38" s="140">
        <f>E44+E50+E56+E62</f>
        <v>0</v>
      </c>
      <c r="F38" s="140">
        <f>F44+F50+F56+F62</f>
        <v>0</v>
      </c>
      <c r="G38" s="140">
        <f>G44+G50+G56+G62</f>
        <v>0</v>
      </c>
      <c r="H38" s="163" t="str">
        <f t="shared" si="1"/>
        <v>-</v>
      </c>
      <c r="I38" s="133"/>
      <c r="J38" s="140">
        <f t="shared" ref="J38:K42" si="9">J44+J50+J56+J62</f>
        <v>0</v>
      </c>
      <c r="K38" s="140">
        <f t="shared" si="9"/>
        <v>0</v>
      </c>
      <c r="L38" s="163" t="str">
        <f t="shared" si="2"/>
        <v>-</v>
      </c>
      <c r="M38" s="163" t="str">
        <f t="shared" si="6"/>
        <v>-</v>
      </c>
      <c r="N38" s="138" t="s">
        <v>25</v>
      </c>
    </row>
    <row r="39" spans="1:14" s="135" customFormat="1" ht="15.95" customHeight="1">
      <c r="A39" t="str">
        <f t="shared" si="0"/>
        <v/>
      </c>
      <c r="B39" s="175"/>
      <c r="C39" s="130" t="s">
        <v>202</v>
      </c>
      <c r="D39" s="140">
        <f t="shared" ref="D39:G42" si="10">D45+D51+D57+D63</f>
        <v>51978</v>
      </c>
      <c r="E39" s="140">
        <f t="shared" si="10"/>
        <v>16119</v>
      </c>
      <c r="F39" s="140">
        <f t="shared" si="10"/>
        <v>106466</v>
      </c>
      <c r="G39" s="140">
        <f t="shared" si="10"/>
        <v>0</v>
      </c>
      <c r="H39" s="163">
        <f t="shared" si="1"/>
        <v>2.0482896610104273</v>
      </c>
      <c r="I39" s="133"/>
      <c r="J39" s="140">
        <f t="shared" si="9"/>
        <v>34322</v>
      </c>
      <c r="K39" s="140">
        <f t="shared" si="9"/>
        <v>106143</v>
      </c>
      <c r="L39" s="163">
        <f t="shared" si="2"/>
        <v>0.99696616760280277</v>
      </c>
      <c r="M39" s="163">
        <f t="shared" si="6"/>
        <v>2.0420754934780101</v>
      </c>
      <c r="N39" s="138" t="s">
        <v>25</v>
      </c>
    </row>
    <row r="40" spans="1:14" s="135" customFormat="1" ht="15.95" customHeight="1">
      <c r="A40" t="str">
        <f t="shared" si="0"/>
        <v/>
      </c>
      <c r="B40" s="175"/>
      <c r="C40" s="130" t="s">
        <v>197</v>
      </c>
      <c r="D40" s="140">
        <f t="shared" si="10"/>
        <v>101943</v>
      </c>
      <c r="E40" s="140">
        <f t="shared" si="10"/>
        <v>4577</v>
      </c>
      <c r="F40" s="140">
        <f t="shared" si="10"/>
        <v>175467</v>
      </c>
      <c r="G40" s="140">
        <f t="shared" si="10"/>
        <v>0</v>
      </c>
      <c r="H40" s="163">
        <f t="shared" si="1"/>
        <v>1.7212265677878815</v>
      </c>
      <c r="I40" s="133"/>
      <c r="J40" s="140">
        <f t="shared" si="9"/>
        <v>94703</v>
      </c>
      <c r="K40" s="140">
        <f t="shared" si="9"/>
        <v>160700</v>
      </c>
      <c r="L40" s="163">
        <f t="shared" si="2"/>
        <v>0.9158417252246861</v>
      </c>
      <c r="M40" s="163">
        <f t="shared" si="6"/>
        <v>1.5763711093454185</v>
      </c>
      <c r="N40" s="138" t="s">
        <v>25</v>
      </c>
    </row>
    <row r="41" spans="1:14" s="135" customFormat="1" ht="15.95" customHeight="1">
      <c r="A41">
        <f t="shared" si="0"/>
        <v>1</v>
      </c>
      <c r="B41" s="175"/>
      <c r="C41" s="130" t="s">
        <v>198</v>
      </c>
      <c r="D41" s="140">
        <f t="shared" si="10"/>
        <v>0</v>
      </c>
      <c r="E41" s="140">
        <f t="shared" si="10"/>
        <v>0</v>
      </c>
      <c r="F41" s="140">
        <f t="shared" si="10"/>
        <v>0</v>
      </c>
      <c r="G41" s="140">
        <f t="shared" si="10"/>
        <v>0</v>
      </c>
      <c r="H41" s="163" t="str">
        <f t="shared" si="1"/>
        <v>-</v>
      </c>
      <c r="I41" s="133"/>
      <c r="J41" s="140">
        <f t="shared" si="9"/>
        <v>0</v>
      </c>
      <c r="K41" s="140">
        <f t="shared" si="9"/>
        <v>0</v>
      </c>
      <c r="L41" s="163" t="str">
        <f t="shared" si="2"/>
        <v>-</v>
      </c>
      <c r="M41" s="163" t="str">
        <f t="shared" si="6"/>
        <v>-</v>
      </c>
      <c r="N41" s="138" t="s">
        <v>25</v>
      </c>
    </row>
    <row r="42" spans="1:14" s="135" customFormat="1" ht="15.95" customHeight="1">
      <c r="A42">
        <f t="shared" si="0"/>
        <v>1</v>
      </c>
      <c r="B42" s="175"/>
      <c r="C42" s="130" t="s">
        <v>199</v>
      </c>
      <c r="D42" s="140">
        <f t="shared" si="10"/>
        <v>0</v>
      </c>
      <c r="E42" s="140">
        <f t="shared" si="10"/>
        <v>0</v>
      </c>
      <c r="F42" s="140">
        <f t="shared" si="10"/>
        <v>0</v>
      </c>
      <c r="G42" s="140">
        <f t="shared" si="10"/>
        <v>0</v>
      </c>
      <c r="H42" s="163" t="str">
        <f t="shared" si="1"/>
        <v>-</v>
      </c>
      <c r="I42" s="133"/>
      <c r="J42" s="140">
        <f t="shared" si="9"/>
        <v>0</v>
      </c>
      <c r="K42" s="140">
        <f t="shared" si="9"/>
        <v>0</v>
      </c>
      <c r="L42" s="163" t="str">
        <f t="shared" si="2"/>
        <v>-</v>
      </c>
      <c r="M42" s="163" t="str">
        <f t="shared" si="6"/>
        <v>-</v>
      </c>
      <c r="N42" s="138" t="s">
        <v>25</v>
      </c>
    </row>
    <row r="43" spans="1:14" ht="15.95" customHeight="1">
      <c r="A43" t="str">
        <f t="shared" si="0"/>
        <v/>
      </c>
      <c r="B43" s="175" t="s">
        <v>211</v>
      </c>
      <c r="C43" s="130" t="s">
        <v>192</v>
      </c>
      <c r="D43" s="131">
        <f>SUM(D44:D48)</f>
        <v>22242</v>
      </c>
      <c r="E43" s="131">
        <f>SUM(E44:E48)</f>
        <v>20696</v>
      </c>
      <c r="F43" s="132">
        <f>SUM(F44:F48)</f>
        <v>18861</v>
      </c>
      <c r="G43" s="131">
        <f>SUM(G44:G48)</f>
        <v>0</v>
      </c>
      <c r="H43" s="163">
        <f t="shared" si="1"/>
        <v>0.84799028864310766</v>
      </c>
      <c r="I43" s="133"/>
      <c r="J43" s="131">
        <f>SUM(J44:J48)</f>
        <v>9478</v>
      </c>
      <c r="K43" s="132">
        <f>SUM(K44:K48)</f>
        <v>17000</v>
      </c>
      <c r="L43" s="163">
        <f t="shared" si="2"/>
        <v>0.90133078839934255</v>
      </c>
      <c r="M43" s="163">
        <f t="shared" si="6"/>
        <v>0.76431975541767827</v>
      </c>
      <c r="N43" s="138" t="s">
        <v>212</v>
      </c>
    </row>
    <row r="44" spans="1:14" s="135" customFormat="1" ht="15.95" customHeight="1">
      <c r="A44">
        <f t="shared" si="0"/>
        <v>1</v>
      </c>
      <c r="B44" s="175"/>
      <c r="C44" s="130" t="s">
        <v>193</v>
      </c>
      <c r="D44" s="140"/>
      <c r="E44" s="141"/>
      <c r="F44" s="142"/>
      <c r="G44" s="137"/>
      <c r="H44" s="163" t="str">
        <f t="shared" si="1"/>
        <v>-</v>
      </c>
      <c r="I44" s="133"/>
      <c r="J44" s="140"/>
      <c r="K44" s="143"/>
      <c r="L44" s="163" t="str">
        <f t="shared" si="2"/>
        <v>-</v>
      </c>
      <c r="M44" s="163" t="str">
        <f t="shared" si="6"/>
        <v>-</v>
      </c>
      <c r="N44" s="138" t="s">
        <v>25</v>
      </c>
    </row>
    <row r="45" spans="1:14" s="135" customFormat="1" ht="15.95" customHeight="1">
      <c r="A45" t="str">
        <f t="shared" si="0"/>
        <v/>
      </c>
      <c r="B45" s="175"/>
      <c r="C45" s="130" t="s">
        <v>202</v>
      </c>
      <c r="D45" s="140">
        <f>13897+2222</f>
        <v>16119</v>
      </c>
      <c r="E45" s="141">
        <v>16119</v>
      </c>
      <c r="F45" s="142"/>
      <c r="G45" s="137"/>
      <c r="H45" s="163">
        <f t="shared" si="1"/>
        <v>0</v>
      </c>
      <c r="I45" s="133"/>
      <c r="J45" s="140"/>
      <c r="K45" s="143"/>
      <c r="L45" s="163" t="str">
        <f t="shared" si="2"/>
        <v>-</v>
      </c>
      <c r="M45" s="163" t="str">
        <f t="shared" si="6"/>
        <v>-</v>
      </c>
      <c r="N45" s="138" t="s">
        <v>25</v>
      </c>
    </row>
    <row r="46" spans="1:14" s="135" customFormat="1" ht="15.95" customHeight="1">
      <c r="A46" t="str">
        <f t="shared" si="0"/>
        <v/>
      </c>
      <c r="B46" s="175"/>
      <c r="C46" s="130" t="s">
        <v>197</v>
      </c>
      <c r="D46" s="140">
        <f>22242-D45</f>
        <v>6123</v>
      </c>
      <c r="E46" s="141">
        <v>4577</v>
      </c>
      <c r="F46" s="142">
        <v>18861</v>
      </c>
      <c r="G46" s="137"/>
      <c r="H46" s="163">
        <f t="shared" si="1"/>
        <v>3.0803527682508576</v>
      </c>
      <c r="I46" s="133"/>
      <c r="J46" s="140">
        <v>9478</v>
      </c>
      <c r="K46" s="143">
        <v>17000</v>
      </c>
      <c r="L46" s="163">
        <f t="shared" si="2"/>
        <v>0.90133078839934255</v>
      </c>
      <c r="M46" s="163">
        <f t="shared" si="6"/>
        <v>2.7764167891556428</v>
      </c>
      <c r="N46" s="138" t="s">
        <v>25</v>
      </c>
    </row>
    <row r="47" spans="1:14" s="135" customFormat="1" ht="15.95" customHeight="1">
      <c r="A47">
        <f t="shared" si="0"/>
        <v>1</v>
      </c>
      <c r="B47" s="175"/>
      <c r="C47" s="130" t="s">
        <v>198</v>
      </c>
      <c r="D47" s="140"/>
      <c r="E47" s="141"/>
      <c r="F47" s="142"/>
      <c r="G47" s="137"/>
      <c r="H47" s="163" t="str">
        <f t="shared" si="1"/>
        <v>-</v>
      </c>
      <c r="I47" s="133"/>
      <c r="J47" s="140"/>
      <c r="K47" s="143"/>
      <c r="L47" s="163" t="str">
        <f t="shared" si="2"/>
        <v>-</v>
      </c>
      <c r="M47" s="163" t="str">
        <f t="shared" si="6"/>
        <v>-</v>
      </c>
      <c r="N47" s="138" t="s">
        <v>25</v>
      </c>
    </row>
    <row r="48" spans="1:14" s="135" customFormat="1" ht="15.95" customHeight="1">
      <c r="A48">
        <f t="shared" si="0"/>
        <v>1</v>
      </c>
      <c r="B48" s="175"/>
      <c r="C48" s="130" t="s">
        <v>199</v>
      </c>
      <c r="D48" s="140"/>
      <c r="E48" s="141"/>
      <c r="F48" s="142"/>
      <c r="G48" s="137"/>
      <c r="H48" s="163" t="str">
        <f t="shared" si="1"/>
        <v>-</v>
      </c>
      <c r="I48" s="133"/>
      <c r="J48" s="140"/>
      <c r="K48" s="143"/>
      <c r="L48" s="163" t="str">
        <f t="shared" si="2"/>
        <v>-</v>
      </c>
      <c r="M48" s="163" t="str">
        <f t="shared" si="6"/>
        <v>-</v>
      </c>
      <c r="N48" s="138" t="s">
        <v>25</v>
      </c>
    </row>
    <row r="49" spans="1:14" s="146" customFormat="1" ht="15.95" customHeight="1">
      <c r="A49" t="str">
        <f t="shared" si="0"/>
        <v/>
      </c>
      <c r="B49" s="175" t="s">
        <v>213</v>
      </c>
      <c r="C49" s="130" t="s">
        <v>192</v>
      </c>
      <c r="D49" s="131">
        <f>SUM(D50:D54)</f>
        <v>62832</v>
      </c>
      <c r="E49" s="131">
        <f>SUM(E50:E54)</f>
        <v>0</v>
      </c>
      <c r="F49" s="132">
        <f>SUM(F50:F54)</f>
        <v>51546</v>
      </c>
      <c r="G49" s="131">
        <f>SUM(G50:G54)</f>
        <v>0</v>
      </c>
      <c r="H49" s="163">
        <f t="shared" si="1"/>
        <v>0.82037815126050417</v>
      </c>
      <c r="I49" s="133"/>
      <c r="J49" s="131">
        <f>SUM(J50:J54)</f>
        <v>27997</v>
      </c>
      <c r="K49" s="132">
        <f>SUM(K50:K54)</f>
        <v>47063</v>
      </c>
      <c r="L49" s="163">
        <f t="shared" si="2"/>
        <v>0.91302913902145655</v>
      </c>
      <c r="M49" s="163">
        <f t="shared" si="6"/>
        <v>0.74902915711739237</v>
      </c>
      <c r="N49" s="138" t="s">
        <v>214</v>
      </c>
    </row>
    <row r="50" spans="1:14" s="135" customFormat="1" ht="15.95" customHeight="1">
      <c r="A50">
        <f t="shared" si="0"/>
        <v>1</v>
      </c>
      <c r="B50" s="175"/>
      <c r="C50" s="130" t="s">
        <v>193</v>
      </c>
      <c r="D50" s="140"/>
      <c r="E50" s="141"/>
      <c r="F50" s="142"/>
      <c r="G50" s="137"/>
      <c r="H50" s="163" t="str">
        <f t="shared" si="1"/>
        <v>-</v>
      </c>
      <c r="I50" s="133"/>
      <c r="J50" s="140"/>
      <c r="K50" s="143"/>
      <c r="L50" s="163" t="str">
        <f t="shared" si="2"/>
        <v>-</v>
      </c>
      <c r="M50" s="163" t="str">
        <f t="shared" si="6"/>
        <v>-</v>
      </c>
      <c r="N50" s="138" t="s">
        <v>25</v>
      </c>
    </row>
    <row r="51" spans="1:14" s="135" customFormat="1" ht="15.95" customHeight="1">
      <c r="A51" t="str">
        <f t="shared" si="0"/>
        <v/>
      </c>
      <c r="B51" s="175"/>
      <c r="C51" s="130" t="s">
        <v>202</v>
      </c>
      <c r="D51" s="140">
        <f>24840+6500</f>
        <v>31340</v>
      </c>
      <c r="E51" s="141"/>
      <c r="F51" s="142">
        <f>1000+2000+1000+2763</f>
        <v>6763</v>
      </c>
      <c r="G51" s="137"/>
      <c r="H51" s="163">
        <f t="shared" si="1"/>
        <v>0.21579451180599873</v>
      </c>
      <c r="I51" s="133"/>
      <c r="J51" s="140">
        <f>6763</f>
        <v>6763</v>
      </c>
      <c r="K51" s="143">
        <v>6763</v>
      </c>
      <c r="L51" s="163">
        <f t="shared" si="2"/>
        <v>1</v>
      </c>
      <c r="M51" s="163">
        <f t="shared" si="6"/>
        <v>0.21579451180599873</v>
      </c>
      <c r="N51" s="138" t="s">
        <v>25</v>
      </c>
    </row>
    <row r="52" spans="1:14" s="135" customFormat="1" ht="15.95" customHeight="1">
      <c r="A52" t="str">
        <f t="shared" si="0"/>
        <v/>
      </c>
      <c r="B52" s="175"/>
      <c r="C52" s="130" t="s">
        <v>197</v>
      </c>
      <c r="D52" s="140">
        <f>62832-D51</f>
        <v>31492</v>
      </c>
      <c r="E52" s="141"/>
      <c r="F52" s="142">
        <f>51546-F51</f>
        <v>44783</v>
      </c>
      <c r="G52" s="137"/>
      <c r="H52" s="163">
        <f t="shared" si="1"/>
        <v>1.4220436936364791</v>
      </c>
      <c r="I52" s="133"/>
      <c r="J52" s="140">
        <f>27997-J51</f>
        <v>21234</v>
      </c>
      <c r="K52" s="143">
        <v>40300</v>
      </c>
      <c r="L52" s="163">
        <f t="shared" si="2"/>
        <v>0.89989504946073284</v>
      </c>
      <c r="M52" s="163">
        <f t="shared" si="6"/>
        <v>1.2796900800203226</v>
      </c>
      <c r="N52" s="138" t="s">
        <v>25</v>
      </c>
    </row>
    <row r="53" spans="1:14" s="135" customFormat="1" ht="15.95" customHeight="1">
      <c r="A53">
        <f t="shared" si="0"/>
        <v>1</v>
      </c>
      <c r="B53" s="175"/>
      <c r="C53" s="130" t="s">
        <v>198</v>
      </c>
      <c r="D53" s="140"/>
      <c r="E53" s="141"/>
      <c r="F53" s="142"/>
      <c r="G53" s="137"/>
      <c r="H53" s="163" t="str">
        <f t="shared" si="1"/>
        <v>-</v>
      </c>
      <c r="I53" s="133"/>
      <c r="J53" s="140"/>
      <c r="K53" s="143"/>
      <c r="L53" s="163" t="str">
        <f t="shared" si="2"/>
        <v>-</v>
      </c>
      <c r="M53" s="163" t="str">
        <f t="shared" si="6"/>
        <v>-</v>
      </c>
      <c r="N53" s="138" t="s">
        <v>25</v>
      </c>
    </row>
    <row r="54" spans="1:14" s="135" customFormat="1" ht="15.95" customHeight="1">
      <c r="A54">
        <f t="shared" si="0"/>
        <v>1</v>
      </c>
      <c r="B54" s="175"/>
      <c r="C54" s="130" t="s">
        <v>199</v>
      </c>
      <c r="D54" s="140"/>
      <c r="E54" s="141"/>
      <c r="F54" s="142"/>
      <c r="G54" s="137"/>
      <c r="H54" s="163" t="str">
        <f t="shared" si="1"/>
        <v>-</v>
      </c>
      <c r="I54" s="133"/>
      <c r="J54" s="140"/>
      <c r="K54" s="143"/>
      <c r="L54" s="163" t="str">
        <f t="shared" si="2"/>
        <v>-</v>
      </c>
      <c r="M54" s="163" t="str">
        <f t="shared" si="6"/>
        <v>-</v>
      </c>
      <c r="N54" s="138" t="s">
        <v>25</v>
      </c>
    </row>
    <row r="55" spans="1:14" ht="15.95" customHeight="1">
      <c r="A55" t="str">
        <f t="shared" si="0"/>
        <v/>
      </c>
      <c r="B55" s="175" t="s">
        <v>215</v>
      </c>
      <c r="C55" s="130" t="s">
        <v>192</v>
      </c>
      <c r="D55" s="131">
        <f>SUM(D56:D60)</f>
        <v>54324</v>
      </c>
      <c r="E55" s="131">
        <f>SUM(E56:E60)</f>
        <v>0</v>
      </c>
      <c r="F55" s="132">
        <f>SUM(F56:F60)</f>
        <v>84572</v>
      </c>
      <c r="G55" s="131">
        <f>SUM(G56:G60)</f>
        <v>0</v>
      </c>
      <c r="H55" s="163">
        <f t="shared" si="1"/>
        <v>1.5568073043222148</v>
      </c>
      <c r="I55" s="133"/>
      <c r="J55" s="131">
        <f>SUM(J56:J60)</f>
        <v>51801</v>
      </c>
      <c r="K55" s="132">
        <f>SUM(K56:K60)</f>
        <v>75977</v>
      </c>
      <c r="L55" s="163">
        <f t="shared" si="2"/>
        <v>0.89837061911743843</v>
      </c>
      <c r="M55" s="163">
        <f t="shared" si="6"/>
        <v>1.3985899418304986</v>
      </c>
      <c r="N55" s="138" t="s">
        <v>216</v>
      </c>
    </row>
    <row r="56" spans="1:14" s="135" customFormat="1" ht="15.95" customHeight="1">
      <c r="A56">
        <f t="shared" si="0"/>
        <v>1</v>
      </c>
      <c r="B56" s="175"/>
      <c r="C56" s="130" t="s">
        <v>193</v>
      </c>
      <c r="D56" s="140"/>
      <c r="E56" s="141"/>
      <c r="F56" s="142"/>
      <c r="G56" s="137"/>
      <c r="H56" s="163" t="str">
        <f t="shared" si="1"/>
        <v>-</v>
      </c>
      <c r="I56" s="133"/>
      <c r="J56" s="140"/>
      <c r="K56" s="143"/>
      <c r="L56" s="163" t="str">
        <f t="shared" si="2"/>
        <v>-</v>
      </c>
      <c r="M56" s="163" t="str">
        <f t="shared" si="6"/>
        <v>-</v>
      </c>
      <c r="N56" s="138" t="s">
        <v>25</v>
      </c>
    </row>
    <row r="57" spans="1:14" s="135" customFormat="1" ht="15.95" customHeight="1">
      <c r="A57" t="str">
        <f t="shared" si="0"/>
        <v/>
      </c>
      <c r="B57" s="175"/>
      <c r="C57" s="130" t="s">
        <v>202</v>
      </c>
      <c r="D57" s="140"/>
      <c r="E57" s="141"/>
      <c r="F57" s="142">
        <v>1900</v>
      </c>
      <c r="G57" s="137"/>
      <c r="H57" s="163" t="str">
        <f t="shared" si="1"/>
        <v>-</v>
      </c>
      <c r="I57" s="133"/>
      <c r="J57" s="140">
        <v>1577</v>
      </c>
      <c r="K57" s="143">
        <v>1577</v>
      </c>
      <c r="L57" s="163">
        <f t="shared" si="2"/>
        <v>0.83</v>
      </c>
      <c r="M57" s="163" t="str">
        <f t="shared" si="6"/>
        <v>-</v>
      </c>
      <c r="N57" s="138" t="s">
        <v>25</v>
      </c>
    </row>
    <row r="58" spans="1:14" s="135" customFormat="1" ht="15.95" customHeight="1">
      <c r="A58" t="str">
        <f t="shared" si="0"/>
        <v/>
      </c>
      <c r="B58" s="175"/>
      <c r="C58" s="130" t="s">
        <v>197</v>
      </c>
      <c r="D58" s="140">
        <v>54324</v>
      </c>
      <c r="E58" s="141"/>
      <c r="F58" s="142">
        <f>84572-F57</f>
        <v>82672</v>
      </c>
      <c r="G58" s="137"/>
      <c r="H58" s="163">
        <f t="shared" si="1"/>
        <v>1.5218319711361461</v>
      </c>
      <c r="I58" s="133"/>
      <c r="J58" s="140">
        <f>51801-J57</f>
        <v>50224</v>
      </c>
      <c r="K58" s="143">
        <v>74400</v>
      </c>
      <c r="L58" s="163">
        <f t="shared" si="2"/>
        <v>0.89994193922972709</v>
      </c>
      <c r="M58" s="163">
        <f t="shared" si="6"/>
        <v>1.3695604152860614</v>
      </c>
      <c r="N58" s="138" t="s">
        <v>25</v>
      </c>
    </row>
    <row r="59" spans="1:14" s="135" customFormat="1" ht="15.95" customHeight="1">
      <c r="A59">
        <f t="shared" si="0"/>
        <v>1</v>
      </c>
      <c r="B59" s="175"/>
      <c r="C59" s="130" t="s">
        <v>198</v>
      </c>
      <c r="D59" s="140"/>
      <c r="E59" s="141"/>
      <c r="F59" s="142"/>
      <c r="G59" s="137"/>
      <c r="H59" s="163" t="str">
        <f t="shared" si="1"/>
        <v>-</v>
      </c>
      <c r="I59" s="133"/>
      <c r="J59" s="140"/>
      <c r="K59" s="143"/>
      <c r="L59" s="163" t="str">
        <f t="shared" si="2"/>
        <v>-</v>
      </c>
      <c r="M59" s="163" t="str">
        <f t="shared" si="6"/>
        <v>-</v>
      </c>
      <c r="N59" s="138" t="s">
        <v>25</v>
      </c>
    </row>
    <row r="60" spans="1:14" s="135" customFormat="1" ht="15.95" customHeight="1">
      <c r="A60">
        <f t="shared" si="0"/>
        <v>1</v>
      </c>
      <c r="B60" s="175"/>
      <c r="C60" s="130" t="s">
        <v>199</v>
      </c>
      <c r="D60" s="140"/>
      <c r="E60" s="141"/>
      <c r="F60" s="142"/>
      <c r="G60" s="137"/>
      <c r="H60" s="163" t="str">
        <f t="shared" si="1"/>
        <v>-</v>
      </c>
      <c r="I60" s="133"/>
      <c r="J60" s="140"/>
      <c r="K60" s="143"/>
      <c r="L60" s="163" t="str">
        <f t="shared" si="2"/>
        <v>-</v>
      </c>
      <c r="M60" s="163" t="str">
        <f t="shared" si="6"/>
        <v>-</v>
      </c>
      <c r="N60" s="138" t="s">
        <v>25</v>
      </c>
    </row>
    <row r="61" spans="1:14" s="139" customFormat="1" ht="15.95" customHeight="1">
      <c r="A61" t="str">
        <f t="shared" si="0"/>
        <v/>
      </c>
      <c r="B61" s="175" t="s">
        <v>217</v>
      </c>
      <c r="C61" s="130" t="s">
        <v>192</v>
      </c>
      <c r="D61" s="131">
        <f>SUM(D62:D66)</f>
        <v>14523</v>
      </c>
      <c r="E61" s="131">
        <f>SUM(E62:E66)</f>
        <v>0</v>
      </c>
      <c r="F61" s="132">
        <f>SUM(F62:F66)</f>
        <v>126954</v>
      </c>
      <c r="G61" s="131">
        <f>SUM(G62:G66)</f>
        <v>0</v>
      </c>
      <c r="H61" s="163">
        <f t="shared" si="1"/>
        <v>8.7415823177029548</v>
      </c>
      <c r="I61" s="133"/>
      <c r="J61" s="131">
        <f>SUM(J62:J66)</f>
        <v>39749</v>
      </c>
      <c r="K61" s="132">
        <f>SUM(K62:K66)</f>
        <v>126803</v>
      </c>
      <c r="L61" s="163">
        <f t="shared" si="2"/>
        <v>0.99881059281314488</v>
      </c>
      <c r="M61" s="163">
        <f t="shared" si="6"/>
        <v>8.7311850168697926</v>
      </c>
      <c r="N61" s="138" t="s">
        <v>218</v>
      </c>
    </row>
    <row r="62" spans="1:14" s="135" customFormat="1" ht="15.95" customHeight="1">
      <c r="A62">
        <f t="shared" si="0"/>
        <v>1</v>
      </c>
      <c r="B62" s="175"/>
      <c r="C62" s="130" t="s">
        <v>193</v>
      </c>
      <c r="D62" s="140"/>
      <c r="E62" s="141"/>
      <c r="F62" s="142"/>
      <c r="G62" s="137"/>
      <c r="H62" s="163" t="str">
        <f t="shared" si="1"/>
        <v>-</v>
      </c>
      <c r="I62" s="133"/>
      <c r="J62" s="140"/>
      <c r="K62" s="143"/>
      <c r="L62" s="163" t="str">
        <f t="shared" si="2"/>
        <v>-</v>
      </c>
      <c r="M62" s="163" t="str">
        <f t="shared" si="6"/>
        <v>-</v>
      </c>
      <c r="N62" s="138" t="s">
        <v>25</v>
      </c>
    </row>
    <row r="63" spans="1:14" s="135" customFormat="1" ht="15.95" customHeight="1">
      <c r="A63" t="str">
        <f t="shared" si="0"/>
        <v/>
      </c>
      <c r="B63" s="175"/>
      <c r="C63" s="130" t="s">
        <v>202</v>
      </c>
      <c r="D63" s="140">
        <v>4519</v>
      </c>
      <c r="E63" s="141"/>
      <c r="F63" s="142">
        <f>5253+50000+42550</f>
        <v>97803</v>
      </c>
      <c r="G63" s="137"/>
      <c r="H63" s="163">
        <f t="shared" si="1"/>
        <v>21.642620048683337</v>
      </c>
      <c r="I63" s="133"/>
      <c r="J63" s="140">
        <f>1319+24663</f>
        <v>25982</v>
      </c>
      <c r="K63" s="143">
        <v>97803</v>
      </c>
      <c r="L63" s="163">
        <f t="shared" si="2"/>
        <v>1</v>
      </c>
      <c r="M63" s="163">
        <f t="shared" si="6"/>
        <v>21.642620048683337</v>
      </c>
      <c r="N63" s="138" t="s">
        <v>25</v>
      </c>
    </row>
    <row r="64" spans="1:14" s="135" customFormat="1" ht="15.95" customHeight="1">
      <c r="A64" t="str">
        <f t="shared" si="0"/>
        <v/>
      </c>
      <c r="B64" s="175"/>
      <c r="C64" s="130" t="s">
        <v>197</v>
      </c>
      <c r="D64" s="140">
        <f>14523-D63</f>
        <v>10004</v>
      </c>
      <c r="E64" s="141"/>
      <c r="F64" s="142">
        <f>126954-F63</f>
        <v>29151</v>
      </c>
      <c r="G64" s="137"/>
      <c r="H64" s="163">
        <f t="shared" si="1"/>
        <v>2.9139344262295084</v>
      </c>
      <c r="I64" s="133"/>
      <c r="J64" s="140">
        <f>39749-J63</f>
        <v>13767</v>
      </c>
      <c r="K64" s="143">
        <v>29000</v>
      </c>
      <c r="L64" s="163">
        <f t="shared" si="2"/>
        <v>0.99482007478302636</v>
      </c>
      <c r="M64" s="163">
        <f t="shared" si="6"/>
        <v>2.8988404638144742</v>
      </c>
      <c r="N64" s="138" t="s">
        <v>25</v>
      </c>
    </row>
    <row r="65" spans="1:14" s="135" customFormat="1" ht="15.95" customHeight="1">
      <c r="A65">
        <f t="shared" si="0"/>
        <v>1</v>
      </c>
      <c r="B65" s="175"/>
      <c r="C65" s="130" t="s">
        <v>198</v>
      </c>
      <c r="D65" s="140"/>
      <c r="E65" s="141"/>
      <c r="F65" s="142"/>
      <c r="G65" s="137"/>
      <c r="H65" s="163" t="str">
        <f t="shared" si="1"/>
        <v>-</v>
      </c>
      <c r="I65" s="133"/>
      <c r="J65" s="140"/>
      <c r="K65" s="143"/>
      <c r="L65" s="163" t="str">
        <f t="shared" si="2"/>
        <v>-</v>
      </c>
      <c r="M65" s="163" t="str">
        <f t="shared" si="6"/>
        <v>-</v>
      </c>
      <c r="N65" s="138" t="s">
        <v>25</v>
      </c>
    </row>
    <row r="66" spans="1:14" s="135" customFormat="1" ht="15.95" customHeight="1">
      <c r="A66">
        <f t="shared" si="0"/>
        <v>1</v>
      </c>
      <c r="B66" s="175"/>
      <c r="C66" s="130" t="s">
        <v>199</v>
      </c>
      <c r="D66" s="140"/>
      <c r="E66" s="141"/>
      <c r="F66" s="142"/>
      <c r="G66" s="137"/>
      <c r="H66" s="163" t="str">
        <f t="shared" si="1"/>
        <v>-</v>
      </c>
      <c r="I66" s="133"/>
      <c r="J66" s="140"/>
      <c r="K66" s="143"/>
      <c r="L66" s="163" t="str">
        <f t="shared" si="2"/>
        <v>-</v>
      </c>
      <c r="M66" s="163" t="str">
        <f t="shared" si="6"/>
        <v>-</v>
      </c>
      <c r="N66" s="138" t="s">
        <v>25</v>
      </c>
    </row>
    <row r="67" spans="1:14" s="139" customFormat="1" ht="15.95" customHeight="1">
      <c r="A67" t="str">
        <f t="shared" si="0"/>
        <v/>
      </c>
      <c r="B67" s="175" t="s">
        <v>219</v>
      </c>
      <c r="C67" s="130" t="s">
        <v>192</v>
      </c>
      <c r="D67" s="131">
        <f>SUM(D68:D72)</f>
        <v>271274</v>
      </c>
      <c r="E67" s="131">
        <f>SUM(E68:E72)</f>
        <v>0</v>
      </c>
      <c r="F67" s="132">
        <f>SUM(F68:F72)</f>
        <v>310174</v>
      </c>
      <c r="G67" s="131">
        <f>SUM(G68:G72)</f>
        <v>0</v>
      </c>
      <c r="H67" s="163">
        <f t="shared" si="1"/>
        <v>1.1433974505481543</v>
      </c>
      <c r="I67" s="133"/>
      <c r="J67" s="131">
        <f>SUM(J68:J72)</f>
        <v>219332</v>
      </c>
      <c r="K67" s="132">
        <f>SUM(K68:K72)</f>
        <v>304177</v>
      </c>
      <c r="L67" s="163">
        <f t="shared" si="2"/>
        <v>0.98066569087028566</v>
      </c>
      <c r="M67" s="163">
        <f t="shared" si="6"/>
        <v>1.1212906507811291</v>
      </c>
      <c r="N67" s="138" t="s">
        <v>220</v>
      </c>
    </row>
    <row r="68" spans="1:14" s="135" customFormat="1" ht="15.95" customHeight="1">
      <c r="A68">
        <f t="shared" si="0"/>
        <v>1</v>
      </c>
      <c r="B68" s="175"/>
      <c r="C68" s="130" t="s">
        <v>193</v>
      </c>
      <c r="D68" s="140">
        <f>D74+D80+D86+D92+D98</f>
        <v>0</v>
      </c>
      <c r="E68" s="140">
        <f>E74+E80+E86+E92+E98</f>
        <v>0</v>
      </c>
      <c r="F68" s="140">
        <f>F74+F80+F86+F92+F98</f>
        <v>0</v>
      </c>
      <c r="G68" s="140">
        <f>G74+G80+G86+G92+G98</f>
        <v>0</v>
      </c>
      <c r="H68" s="163" t="str">
        <f t="shared" si="1"/>
        <v>-</v>
      </c>
      <c r="I68" s="133"/>
      <c r="J68" s="140">
        <f t="shared" ref="J68:K72" si="11">J74+J80+J86+J92+J98</f>
        <v>0</v>
      </c>
      <c r="K68" s="140">
        <f t="shared" si="11"/>
        <v>0</v>
      </c>
      <c r="L68" s="163" t="str">
        <f t="shared" si="2"/>
        <v>-</v>
      </c>
      <c r="M68" s="163" t="str">
        <f t="shared" si="6"/>
        <v>-</v>
      </c>
      <c r="N68" s="138" t="s">
        <v>25</v>
      </c>
    </row>
    <row r="69" spans="1:14" s="135" customFormat="1" ht="15.95" customHeight="1">
      <c r="A69" t="str">
        <f t="shared" ref="A69:A132" si="12">IF(SUM(D69:G69,J69:K69)&lt;&gt;0,"",1)</f>
        <v/>
      </c>
      <c r="B69" s="175"/>
      <c r="C69" s="130" t="s">
        <v>202</v>
      </c>
      <c r="D69" s="140">
        <f t="shared" ref="D69:G72" si="13">D75+D81+D87+D93+D99</f>
        <v>160651</v>
      </c>
      <c r="E69" s="140">
        <f t="shared" si="13"/>
        <v>0</v>
      </c>
      <c r="F69" s="140">
        <f t="shared" si="13"/>
        <v>189303</v>
      </c>
      <c r="G69" s="140">
        <f t="shared" si="13"/>
        <v>0</v>
      </c>
      <c r="H69" s="163">
        <f t="shared" ref="H69:H132" si="14">IF(D69&lt;&gt;0,IFERROR(F69/D69,"-"),"-")</f>
        <v>1.1783493411183248</v>
      </c>
      <c r="I69" s="133"/>
      <c r="J69" s="140">
        <f t="shared" si="11"/>
        <v>133514</v>
      </c>
      <c r="K69" s="140">
        <f t="shared" si="11"/>
        <v>189303</v>
      </c>
      <c r="L69" s="163">
        <f t="shared" ref="L69:L132" si="15">IF(F69&lt;&gt;0,IFERROR(K69/F69,"-"),"-")</f>
        <v>1</v>
      </c>
      <c r="M69" s="163">
        <f t="shared" si="6"/>
        <v>1.1783493411183248</v>
      </c>
      <c r="N69" s="138" t="s">
        <v>25</v>
      </c>
    </row>
    <row r="70" spans="1:14" s="135" customFormat="1" ht="15.95" customHeight="1">
      <c r="A70" t="str">
        <f t="shared" si="12"/>
        <v/>
      </c>
      <c r="B70" s="175"/>
      <c r="C70" s="130" t="s">
        <v>197</v>
      </c>
      <c r="D70" s="140">
        <f t="shared" si="13"/>
        <v>110623</v>
      </c>
      <c r="E70" s="140">
        <f t="shared" si="13"/>
        <v>0</v>
      </c>
      <c r="F70" s="140">
        <f t="shared" si="13"/>
        <v>120871</v>
      </c>
      <c r="G70" s="140">
        <f t="shared" si="13"/>
        <v>0</v>
      </c>
      <c r="H70" s="163">
        <f t="shared" si="14"/>
        <v>1.0926389629643021</v>
      </c>
      <c r="I70" s="133"/>
      <c r="J70" s="140">
        <f t="shared" si="11"/>
        <v>85818</v>
      </c>
      <c r="K70" s="140">
        <f t="shared" si="11"/>
        <v>114874</v>
      </c>
      <c r="L70" s="163">
        <f t="shared" si="15"/>
        <v>0.95038512132769648</v>
      </c>
      <c r="M70" s="163">
        <f t="shared" si="6"/>
        <v>1.0384278133841969</v>
      </c>
      <c r="N70" s="138" t="s">
        <v>25</v>
      </c>
    </row>
    <row r="71" spans="1:14" s="135" customFormat="1" ht="15.95" customHeight="1">
      <c r="A71">
        <f t="shared" si="12"/>
        <v>1</v>
      </c>
      <c r="B71" s="175"/>
      <c r="C71" s="130" t="s">
        <v>198</v>
      </c>
      <c r="D71" s="140">
        <f t="shared" si="13"/>
        <v>0</v>
      </c>
      <c r="E71" s="140">
        <f t="shared" si="13"/>
        <v>0</v>
      </c>
      <c r="F71" s="140">
        <f t="shared" si="13"/>
        <v>0</v>
      </c>
      <c r="G71" s="140">
        <f t="shared" si="13"/>
        <v>0</v>
      </c>
      <c r="H71" s="163" t="str">
        <f t="shared" si="14"/>
        <v>-</v>
      </c>
      <c r="I71" s="133"/>
      <c r="J71" s="140">
        <f t="shared" si="11"/>
        <v>0</v>
      </c>
      <c r="K71" s="140">
        <f t="shared" si="11"/>
        <v>0</v>
      </c>
      <c r="L71" s="163" t="str">
        <f t="shared" si="15"/>
        <v>-</v>
      </c>
      <c r="M71" s="163" t="str">
        <f t="shared" si="6"/>
        <v>-</v>
      </c>
      <c r="N71" s="138" t="s">
        <v>25</v>
      </c>
    </row>
    <row r="72" spans="1:14" s="135" customFormat="1" ht="15.95" customHeight="1">
      <c r="A72">
        <f t="shared" si="12"/>
        <v>1</v>
      </c>
      <c r="B72" s="175"/>
      <c r="C72" s="130" t="s">
        <v>199</v>
      </c>
      <c r="D72" s="140">
        <f t="shared" si="13"/>
        <v>0</v>
      </c>
      <c r="E72" s="140">
        <f t="shared" si="13"/>
        <v>0</v>
      </c>
      <c r="F72" s="140">
        <f t="shared" si="13"/>
        <v>0</v>
      </c>
      <c r="G72" s="140">
        <f t="shared" si="13"/>
        <v>0</v>
      </c>
      <c r="H72" s="163" t="str">
        <f t="shared" si="14"/>
        <v>-</v>
      </c>
      <c r="I72" s="133"/>
      <c r="J72" s="140">
        <f t="shared" si="11"/>
        <v>0</v>
      </c>
      <c r="K72" s="140">
        <f t="shared" si="11"/>
        <v>0</v>
      </c>
      <c r="L72" s="163" t="str">
        <f t="shared" si="15"/>
        <v>-</v>
      </c>
      <c r="M72" s="163" t="str">
        <f t="shared" si="6"/>
        <v>-</v>
      </c>
      <c r="N72" s="138" t="s">
        <v>25</v>
      </c>
    </row>
    <row r="73" spans="1:14" s="139" customFormat="1" ht="15.95" customHeight="1">
      <c r="A73" t="str">
        <f t="shared" si="12"/>
        <v/>
      </c>
      <c r="B73" s="175" t="s">
        <v>221</v>
      </c>
      <c r="C73" s="130" t="s">
        <v>192</v>
      </c>
      <c r="D73" s="131">
        <f>SUM(D74:D78)</f>
        <v>91585</v>
      </c>
      <c r="E73" s="131">
        <f>SUM(E74:E78)</f>
        <v>0</v>
      </c>
      <c r="F73" s="132">
        <f>SUM(F74:F78)</f>
        <v>104519</v>
      </c>
      <c r="G73" s="131">
        <f>SUM(G74:G78)</f>
        <v>0</v>
      </c>
      <c r="H73" s="163">
        <f t="shared" si="14"/>
        <v>1.1412239995632472</v>
      </c>
      <c r="I73" s="133"/>
      <c r="J73" s="131">
        <f>SUM(J74:J78)</f>
        <v>75671</v>
      </c>
      <c r="K73" s="132">
        <f>SUM(K74:K78)</f>
        <v>103232</v>
      </c>
      <c r="L73" s="163">
        <f t="shared" si="15"/>
        <v>0.98768644935370598</v>
      </c>
      <c r="M73" s="163">
        <f t="shared" si="6"/>
        <v>1.127171480045859</v>
      </c>
      <c r="N73" s="138" t="s">
        <v>222</v>
      </c>
    </row>
    <row r="74" spans="1:14" s="135" customFormat="1" ht="15.95" customHeight="1">
      <c r="A74">
        <f t="shared" si="12"/>
        <v>1</v>
      </c>
      <c r="B74" s="175"/>
      <c r="C74" s="130" t="s">
        <v>193</v>
      </c>
      <c r="D74" s="140"/>
      <c r="E74" s="141"/>
      <c r="F74" s="142"/>
      <c r="G74" s="137"/>
      <c r="H74" s="163" t="str">
        <f t="shared" si="14"/>
        <v>-</v>
      </c>
      <c r="I74" s="133"/>
      <c r="J74" s="140"/>
      <c r="K74" s="143"/>
      <c r="L74" s="163" t="str">
        <f t="shared" si="15"/>
        <v>-</v>
      </c>
      <c r="M74" s="163" t="str">
        <f t="shared" si="6"/>
        <v>-</v>
      </c>
      <c r="N74" s="138" t="s">
        <v>25</v>
      </c>
    </row>
    <row r="75" spans="1:14" s="135" customFormat="1" ht="15.95" customHeight="1">
      <c r="A75" t="str">
        <f t="shared" si="12"/>
        <v/>
      </c>
      <c r="B75" s="175"/>
      <c r="C75" s="130" t="s">
        <v>202</v>
      </c>
      <c r="D75" s="140">
        <f>14111+43422+408</f>
        <v>57941</v>
      </c>
      <c r="E75" s="141"/>
      <c r="F75" s="142">
        <f>65504+603+2125</f>
        <v>68232</v>
      </c>
      <c r="G75" s="137"/>
      <c r="H75" s="163">
        <f t="shared" si="14"/>
        <v>1.1776117084620563</v>
      </c>
      <c r="I75" s="133"/>
      <c r="J75" s="140">
        <f>45971+603+2000</f>
        <v>48574</v>
      </c>
      <c r="K75" s="143">
        <v>68232</v>
      </c>
      <c r="L75" s="163">
        <f t="shared" si="15"/>
        <v>1</v>
      </c>
      <c r="M75" s="163">
        <f t="shared" si="6"/>
        <v>1.1776117084620563</v>
      </c>
      <c r="N75" s="138" t="s">
        <v>25</v>
      </c>
    </row>
    <row r="76" spans="1:14" s="135" customFormat="1" ht="15.95" customHeight="1">
      <c r="A76" t="str">
        <f t="shared" si="12"/>
        <v/>
      </c>
      <c r="B76" s="175"/>
      <c r="C76" s="130" t="s">
        <v>197</v>
      </c>
      <c r="D76" s="140">
        <f>91585-D75</f>
        <v>33644</v>
      </c>
      <c r="E76" s="141"/>
      <c r="F76" s="142">
        <f>104519-F75</f>
        <v>36287</v>
      </c>
      <c r="G76" s="137"/>
      <c r="H76" s="163">
        <f t="shared" si="14"/>
        <v>1.0785578409226013</v>
      </c>
      <c r="I76" s="133"/>
      <c r="J76" s="140">
        <f>75671-J75</f>
        <v>27097</v>
      </c>
      <c r="K76" s="143">
        <v>35000</v>
      </c>
      <c r="L76" s="163">
        <f t="shared" si="15"/>
        <v>0.96453275277647643</v>
      </c>
      <c r="M76" s="163">
        <f t="shared" si="6"/>
        <v>1.0403043633337297</v>
      </c>
      <c r="N76" s="138" t="s">
        <v>25</v>
      </c>
    </row>
    <row r="77" spans="1:14" s="135" customFormat="1" ht="15.95" customHeight="1">
      <c r="A77">
        <f t="shared" si="12"/>
        <v>1</v>
      </c>
      <c r="B77" s="175"/>
      <c r="C77" s="130" t="s">
        <v>198</v>
      </c>
      <c r="D77" s="140"/>
      <c r="E77" s="141"/>
      <c r="F77" s="142"/>
      <c r="G77" s="137"/>
      <c r="H77" s="163" t="str">
        <f t="shared" si="14"/>
        <v>-</v>
      </c>
      <c r="I77" s="133"/>
      <c r="J77" s="140"/>
      <c r="K77" s="143"/>
      <c r="L77" s="163" t="str">
        <f t="shared" si="15"/>
        <v>-</v>
      </c>
      <c r="M77" s="163" t="str">
        <f t="shared" si="6"/>
        <v>-</v>
      </c>
      <c r="N77" s="138" t="s">
        <v>25</v>
      </c>
    </row>
    <row r="78" spans="1:14" s="135" customFormat="1" ht="15.95" customHeight="1">
      <c r="A78">
        <f t="shared" si="12"/>
        <v>1</v>
      </c>
      <c r="B78" s="175"/>
      <c r="C78" s="130" t="s">
        <v>199</v>
      </c>
      <c r="D78" s="140"/>
      <c r="E78" s="141"/>
      <c r="F78" s="142"/>
      <c r="G78" s="137"/>
      <c r="H78" s="163" t="str">
        <f t="shared" si="14"/>
        <v>-</v>
      </c>
      <c r="I78" s="133"/>
      <c r="J78" s="140"/>
      <c r="K78" s="143"/>
      <c r="L78" s="163" t="str">
        <f t="shared" si="15"/>
        <v>-</v>
      </c>
      <c r="M78" s="163" t="str">
        <f t="shared" si="6"/>
        <v>-</v>
      </c>
      <c r="N78" s="138" t="s">
        <v>25</v>
      </c>
    </row>
    <row r="79" spans="1:14" s="147" customFormat="1" ht="15.95" customHeight="1">
      <c r="A79" t="str">
        <f t="shared" si="12"/>
        <v/>
      </c>
      <c r="B79" s="175" t="s">
        <v>223</v>
      </c>
      <c r="C79" s="130" t="s">
        <v>192</v>
      </c>
      <c r="D79" s="131">
        <f>SUM(D80:D84)</f>
        <v>128446</v>
      </c>
      <c r="E79" s="131">
        <f>SUM(E80:E84)</f>
        <v>0</v>
      </c>
      <c r="F79" s="132">
        <f>SUM(F80:F84)</f>
        <v>154318</v>
      </c>
      <c r="G79" s="131">
        <f>SUM(G80:G84)</f>
        <v>0</v>
      </c>
      <c r="H79" s="163">
        <f t="shared" si="14"/>
        <v>1.2014231661554271</v>
      </c>
      <c r="I79" s="133"/>
      <c r="J79" s="131">
        <f>SUM(J80:J84)</f>
        <v>104702</v>
      </c>
      <c r="K79" s="132">
        <f>SUM(K80:K84)</f>
        <v>153833</v>
      </c>
      <c r="L79" s="163">
        <f t="shared" si="15"/>
        <v>0.99685713915421403</v>
      </c>
      <c r="M79" s="163">
        <f t="shared" si="6"/>
        <v>1.1976472603272972</v>
      </c>
      <c r="N79" s="138" t="s">
        <v>224</v>
      </c>
    </row>
    <row r="80" spans="1:14" s="135" customFormat="1" ht="15.95" customHeight="1">
      <c r="A80">
        <f t="shared" si="12"/>
        <v>1</v>
      </c>
      <c r="B80" s="175"/>
      <c r="C80" s="130" t="s">
        <v>193</v>
      </c>
      <c r="D80" s="140"/>
      <c r="E80" s="141"/>
      <c r="F80" s="142"/>
      <c r="G80" s="137"/>
      <c r="H80" s="163" t="str">
        <f t="shared" si="14"/>
        <v>-</v>
      </c>
      <c r="I80" s="133"/>
      <c r="J80" s="140"/>
      <c r="K80" s="143"/>
      <c r="L80" s="163" t="str">
        <f t="shared" si="15"/>
        <v>-</v>
      </c>
      <c r="M80" s="163" t="str">
        <f t="shared" si="6"/>
        <v>-</v>
      </c>
      <c r="N80" s="138" t="s">
        <v>25</v>
      </c>
    </row>
    <row r="81" spans="1:14" s="135" customFormat="1" ht="15.95" customHeight="1">
      <c r="A81" t="str">
        <f t="shared" si="12"/>
        <v/>
      </c>
      <c r="B81" s="175"/>
      <c r="C81" s="130" t="s">
        <v>202</v>
      </c>
      <c r="D81" s="140">
        <f>19892+1196+1981+61162+910+2021+3816+163+324+285+653+141+967+1576+1634</f>
        <v>96721</v>
      </c>
      <c r="E81" s="141"/>
      <c r="F81" s="142">
        <f>3228+86131+8471+9130+698+999+833+242+5234+1867</f>
        <v>116833</v>
      </c>
      <c r="G81" s="137"/>
      <c r="H81" s="163">
        <f t="shared" si="14"/>
        <v>1.2079382967504471</v>
      </c>
      <c r="I81" s="133"/>
      <c r="J81" s="140">
        <f>1370+61927+6689+3863+334+585+216+242+3726+1867</f>
        <v>80819</v>
      </c>
      <c r="K81" s="143">
        <v>116833</v>
      </c>
      <c r="L81" s="163">
        <f t="shared" si="15"/>
        <v>1</v>
      </c>
      <c r="M81" s="163">
        <f t="shared" si="6"/>
        <v>1.2079382967504471</v>
      </c>
      <c r="N81" s="138" t="s">
        <v>25</v>
      </c>
    </row>
    <row r="82" spans="1:14" s="135" customFormat="1" ht="15.95" customHeight="1">
      <c r="A82" t="str">
        <f t="shared" si="12"/>
        <v/>
      </c>
      <c r="B82" s="175"/>
      <c r="C82" s="130" t="s">
        <v>197</v>
      </c>
      <c r="D82" s="140">
        <f>128446-D81</f>
        <v>31725</v>
      </c>
      <c r="E82" s="141"/>
      <c r="F82" s="142">
        <f>154318-F81</f>
        <v>37485</v>
      </c>
      <c r="G82" s="137"/>
      <c r="H82" s="163">
        <f t="shared" si="14"/>
        <v>1.1815602836879433</v>
      </c>
      <c r="I82" s="133"/>
      <c r="J82" s="140">
        <f>104702-J81</f>
        <v>23883</v>
      </c>
      <c r="K82" s="143">
        <v>37000</v>
      </c>
      <c r="L82" s="163">
        <f t="shared" si="15"/>
        <v>0.98706149126317189</v>
      </c>
      <c r="M82" s="163">
        <f t="shared" si="6"/>
        <v>1.1662726556343577</v>
      </c>
      <c r="N82" s="138" t="s">
        <v>25</v>
      </c>
    </row>
    <row r="83" spans="1:14" s="135" customFormat="1" ht="15.95" customHeight="1">
      <c r="A83">
        <f t="shared" si="12"/>
        <v>1</v>
      </c>
      <c r="B83" s="175"/>
      <c r="C83" s="130" t="s">
        <v>198</v>
      </c>
      <c r="D83" s="140"/>
      <c r="E83" s="141"/>
      <c r="F83" s="142"/>
      <c r="G83" s="137"/>
      <c r="H83" s="163" t="str">
        <f t="shared" si="14"/>
        <v>-</v>
      </c>
      <c r="I83" s="133"/>
      <c r="J83" s="140"/>
      <c r="K83" s="143"/>
      <c r="L83" s="163" t="str">
        <f t="shared" si="15"/>
        <v>-</v>
      </c>
      <c r="M83" s="163" t="str">
        <f t="shared" ref="M83:M133" si="16">IF(J83&lt;&gt;0,IFERROR(K83/D83,"-"),"-")</f>
        <v>-</v>
      </c>
      <c r="N83" s="138" t="s">
        <v>25</v>
      </c>
    </row>
    <row r="84" spans="1:14" s="135" customFormat="1" ht="15.95" customHeight="1">
      <c r="A84">
        <f t="shared" si="12"/>
        <v>1</v>
      </c>
      <c r="B84" s="175"/>
      <c r="C84" s="130" t="s">
        <v>199</v>
      </c>
      <c r="D84" s="140"/>
      <c r="E84" s="141"/>
      <c r="F84" s="142"/>
      <c r="G84" s="137"/>
      <c r="H84" s="163" t="str">
        <f t="shared" si="14"/>
        <v>-</v>
      </c>
      <c r="I84" s="133"/>
      <c r="J84" s="140"/>
      <c r="K84" s="143"/>
      <c r="L84" s="163" t="str">
        <f t="shared" si="15"/>
        <v>-</v>
      </c>
      <c r="M84" s="163" t="str">
        <f t="shared" si="16"/>
        <v>-</v>
      </c>
      <c r="N84" s="138" t="s">
        <v>25</v>
      </c>
    </row>
    <row r="85" spans="1:14" s="135" customFormat="1" ht="15.95" customHeight="1">
      <c r="A85" t="str">
        <f t="shared" si="12"/>
        <v/>
      </c>
      <c r="B85" s="175" t="s">
        <v>225</v>
      </c>
      <c r="C85" s="130" t="s">
        <v>192</v>
      </c>
      <c r="D85" s="131">
        <f>SUM(D86:D90)</f>
        <v>45700</v>
      </c>
      <c r="E85" s="131">
        <f>SUM(E86:E90)</f>
        <v>0</v>
      </c>
      <c r="F85" s="131">
        <f>SUM(F86:F90)</f>
        <v>44209</v>
      </c>
      <c r="G85" s="131">
        <f>SUM(G86:G90)</f>
        <v>0</v>
      </c>
      <c r="H85" s="163">
        <f t="shared" si="14"/>
        <v>0.96737417943107218</v>
      </c>
      <c r="I85" s="133"/>
      <c r="J85" s="131">
        <f>SUM(J86:J90)</f>
        <v>32674</v>
      </c>
      <c r="K85" s="131">
        <f>SUM(K86:K90)</f>
        <v>39984</v>
      </c>
      <c r="L85" s="163">
        <f t="shared" si="15"/>
        <v>0.90443122441131896</v>
      </c>
      <c r="M85" s="163">
        <f t="shared" si="16"/>
        <v>0.87492341356673964</v>
      </c>
      <c r="N85" s="138" t="s">
        <v>226</v>
      </c>
    </row>
    <row r="86" spans="1:14" s="135" customFormat="1" ht="15.95" customHeight="1">
      <c r="A86">
        <f t="shared" si="12"/>
        <v>1</v>
      </c>
      <c r="B86" s="175"/>
      <c r="C86" s="130" t="s">
        <v>193</v>
      </c>
      <c r="D86" s="140"/>
      <c r="E86" s="141"/>
      <c r="F86" s="142"/>
      <c r="G86" s="137"/>
      <c r="H86" s="163" t="str">
        <f t="shared" si="14"/>
        <v>-</v>
      </c>
      <c r="I86" s="133"/>
      <c r="J86" s="140"/>
      <c r="K86" s="143"/>
      <c r="L86" s="163" t="str">
        <f t="shared" si="15"/>
        <v>-</v>
      </c>
      <c r="M86" s="163" t="str">
        <f t="shared" si="16"/>
        <v>-</v>
      </c>
      <c r="N86" s="138" t="s">
        <v>25</v>
      </c>
    </row>
    <row r="87" spans="1:14" s="135" customFormat="1" ht="15.95" customHeight="1">
      <c r="A87" t="str">
        <f t="shared" si="12"/>
        <v/>
      </c>
      <c r="B87" s="175"/>
      <c r="C87" s="130" t="s">
        <v>202</v>
      </c>
      <c r="D87" s="140">
        <f>3820</f>
        <v>3820</v>
      </c>
      <c r="E87" s="141"/>
      <c r="F87" s="142">
        <v>984</v>
      </c>
      <c r="G87" s="137"/>
      <c r="H87" s="163">
        <f t="shared" si="14"/>
        <v>0.25759162303664923</v>
      </c>
      <c r="I87" s="133"/>
      <c r="J87" s="140">
        <v>961</v>
      </c>
      <c r="K87" s="143">
        <v>984</v>
      </c>
      <c r="L87" s="163">
        <f t="shared" si="15"/>
        <v>1</v>
      </c>
      <c r="M87" s="163">
        <f t="shared" si="16"/>
        <v>0.25759162303664923</v>
      </c>
      <c r="N87" s="138" t="s">
        <v>25</v>
      </c>
    </row>
    <row r="88" spans="1:14" s="135" customFormat="1" ht="15.95" customHeight="1">
      <c r="A88" t="str">
        <f t="shared" si="12"/>
        <v/>
      </c>
      <c r="B88" s="175"/>
      <c r="C88" s="130" t="s">
        <v>197</v>
      </c>
      <c r="D88" s="140">
        <f>45700-D87</f>
        <v>41880</v>
      </c>
      <c r="E88" s="141"/>
      <c r="F88" s="142">
        <f>44209-F87</f>
        <v>43225</v>
      </c>
      <c r="G88" s="137"/>
      <c r="H88" s="163">
        <f t="shared" si="14"/>
        <v>1.0321155682903533</v>
      </c>
      <c r="I88" s="133"/>
      <c r="J88" s="140">
        <f>32674-J87</f>
        <v>31713</v>
      </c>
      <c r="K88" s="143">
        <v>39000</v>
      </c>
      <c r="L88" s="163">
        <f t="shared" si="15"/>
        <v>0.90225563909774431</v>
      </c>
      <c r="M88" s="163">
        <f t="shared" si="16"/>
        <v>0.93123209169054444</v>
      </c>
      <c r="N88" s="138" t="s">
        <v>25</v>
      </c>
    </row>
    <row r="89" spans="1:14" s="135" customFormat="1" ht="15.95" customHeight="1">
      <c r="A89">
        <f t="shared" si="12"/>
        <v>1</v>
      </c>
      <c r="B89" s="175"/>
      <c r="C89" s="130" t="s">
        <v>198</v>
      </c>
      <c r="D89" s="140"/>
      <c r="E89" s="141"/>
      <c r="F89" s="142"/>
      <c r="G89" s="137"/>
      <c r="H89" s="163" t="str">
        <f t="shared" si="14"/>
        <v>-</v>
      </c>
      <c r="I89" s="133"/>
      <c r="J89" s="140"/>
      <c r="K89" s="143"/>
      <c r="L89" s="163" t="str">
        <f t="shared" si="15"/>
        <v>-</v>
      </c>
      <c r="M89" s="163" t="str">
        <f t="shared" si="16"/>
        <v>-</v>
      </c>
      <c r="N89" s="138" t="s">
        <v>25</v>
      </c>
    </row>
    <row r="90" spans="1:14" s="135" customFormat="1" ht="15.95" customHeight="1">
      <c r="A90">
        <f t="shared" si="12"/>
        <v>1</v>
      </c>
      <c r="B90" s="175"/>
      <c r="C90" s="130" t="s">
        <v>199</v>
      </c>
      <c r="D90" s="140"/>
      <c r="E90" s="141"/>
      <c r="F90" s="142"/>
      <c r="G90" s="137"/>
      <c r="H90" s="163" t="str">
        <f t="shared" si="14"/>
        <v>-</v>
      </c>
      <c r="I90" s="133"/>
      <c r="J90" s="140"/>
      <c r="K90" s="143"/>
      <c r="L90" s="163" t="str">
        <f t="shared" si="15"/>
        <v>-</v>
      </c>
      <c r="M90" s="163" t="str">
        <f t="shared" si="16"/>
        <v>-</v>
      </c>
      <c r="N90" s="138" t="s">
        <v>25</v>
      </c>
    </row>
    <row r="91" spans="1:14" s="147" customFormat="1" ht="15.95" customHeight="1">
      <c r="A91" t="str">
        <f t="shared" si="12"/>
        <v/>
      </c>
      <c r="B91" s="175" t="s">
        <v>227</v>
      </c>
      <c r="C91" s="130" t="s">
        <v>192</v>
      </c>
      <c r="D91" s="131">
        <f>SUM(D92:D96)</f>
        <v>5143</v>
      </c>
      <c r="E91" s="131">
        <f>SUM(E92:E96)</f>
        <v>0</v>
      </c>
      <c r="F91" s="132">
        <f>SUM(F92:F96)</f>
        <v>6509</v>
      </c>
      <c r="G91" s="131">
        <f>SUM(G92:G96)</f>
        <v>0</v>
      </c>
      <c r="H91" s="163">
        <f t="shared" si="14"/>
        <v>1.2656037332296326</v>
      </c>
      <c r="I91" s="133"/>
      <c r="J91" s="131">
        <f>SUM(J92:J96)</f>
        <v>6072</v>
      </c>
      <c r="K91" s="132">
        <f>SUM(K92:K96)</f>
        <v>6509</v>
      </c>
      <c r="L91" s="163">
        <f t="shared" si="15"/>
        <v>1</v>
      </c>
      <c r="M91" s="163">
        <f t="shared" si="16"/>
        <v>1.2656037332296326</v>
      </c>
      <c r="N91" s="138" t="s">
        <v>228</v>
      </c>
    </row>
    <row r="92" spans="1:14" s="135" customFormat="1" ht="15.95" customHeight="1">
      <c r="A92">
        <f t="shared" si="12"/>
        <v>1</v>
      </c>
      <c r="B92" s="175"/>
      <c r="C92" s="130" t="s">
        <v>193</v>
      </c>
      <c r="D92" s="140"/>
      <c r="E92" s="141"/>
      <c r="F92" s="142"/>
      <c r="G92" s="137"/>
      <c r="H92" s="163" t="str">
        <f t="shared" si="14"/>
        <v>-</v>
      </c>
      <c r="I92" s="133"/>
      <c r="J92" s="140"/>
      <c r="K92" s="143"/>
      <c r="L92" s="163" t="str">
        <f t="shared" si="15"/>
        <v>-</v>
      </c>
      <c r="M92" s="163" t="str">
        <f t="shared" si="16"/>
        <v>-</v>
      </c>
      <c r="N92" s="138" t="s">
        <v>25</v>
      </c>
    </row>
    <row r="93" spans="1:14" s="135" customFormat="1" ht="15.95" customHeight="1">
      <c r="A93" t="str">
        <f t="shared" si="12"/>
        <v/>
      </c>
      <c r="B93" s="175"/>
      <c r="C93" s="130" t="s">
        <v>202</v>
      </c>
      <c r="D93" s="140">
        <f>778+1069+322</f>
        <v>2169</v>
      </c>
      <c r="E93" s="141"/>
      <c r="F93" s="142">
        <f>1332+1774+87+61</f>
        <v>3254</v>
      </c>
      <c r="G93" s="137"/>
      <c r="H93" s="163">
        <f t="shared" si="14"/>
        <v>1.5002305209774089</v>
      </c>
      <c r="I93" s="133"/>
      <c r="J93" s="140">
        <f>1328+1771+55+6</f>
        <v>3160</v>
      </c>
      <c r="K93" s="143">
        <v>3254</v>
      </c>
      <c r="L93" s="163">
        <f t="shared" si="15"/>
        <v>1</v>
      </c>
      <c r="M93" s="163">
        <f t="shared" si="16"/>
        <v>1.5002305209774089</v>
      </c>
      <c r="N93" s="138" t="s">
        <v>25</v>
      </c>
    </row>
    <row r="94" spans="1:14" s="135" customFormat="1" ht="15.95" customHeight="1">
      <c r="A94" t="str">
        <f t="shared" si="12"/>
        <v/>
      </c>
      <c r="B94" s="175"/>
      <c r="C94" s="130" t="s">
        <v>197</v>
      </c>
      <c r="D94" s="140">
        <f>5143-D93</f>
        <v>2974</v>
      </c>
      <c r="E94" s="141"/>
      <c r="F94" s="142">
        <f>6509-F93</f>
        <v>3255</v>
      </c>
      <c r="G94" s="137"/>
      <c r="H94" s="163">
        <f t="shared" si="14"/>
        <v>1.0944855413584398</v>
      </c>
      <c r="I94" s="133"/>
      <c r="J94" s="140">
        <f>6072-J93</f>
        <v>2912</v>
      </c>
      <c r="K94" s="143">
        <v>3255</v>
      </c>
      <c r="L94" s="163">
        <f t="shared" si="15"/>
        <v>1</v>
      </c>
      <c r="M94" s="163">
        <f t="shared" si="16"/>
        <v>1.0944855413584398</v>
      </c>
      <c r="N94" s="138" t="s">
        <v>25</v>
      </c>
    </row>
    <row r="95" spans="1:14" s="135" customFormat="1" ht="15.95" customHeight="1">
      <c r="A95">
        <f t="shared" si="12"/>
        <v>1</v>
      </c>
      <c r="B95" s="175"/>
      <c r="C95" s="130" t="s">
        <v>198</v>
      </c>
      <c r="D95" s="140"/>
      <c r="E95" s="141"/>
      <c r="F95" s="142"/>
      <c r="G95" s="137"/>
      <c r="H95" s="163" t="str">
        <f t="shared" si="14"/>
        <v>-</v>
      </c>
      <c r="I95" s="133"/>
      <c r="J95" s="140"/>
      <c r="K95" s="143"/>
      <c r="L95" s="163" t="str">
        <f t="shared" si="15"/>
        <v>-</v>
      </c>
      <c r="M95" s="163" t="str">
        <f t="shared" si="16"/>
        <v>-</v>
      </c>
      <c r="N95" s="138" t="s">
        <v>25</v>
      </c>
    </row>
    <row r="96" spans="1:14" s="135" customFormat="1" ht="15.95" customHeight="1">
      <c r="A96">
        <f t="shared" si="12"/>
        <v>1</v>
      </c>
      <c r="B96" s="175"/>
      <c r="C96" s="130" t="s">
        <v>199</v>
      </c>
      <c r="D96" s="140"/>
      <c r="E96" s="141"/>
      <c r="F96" s="142"/>
      <c r="G96" s="137"/>
      <c r="H96" s="163" t="str">
        <f t="shared" si="14"/>
        <v>-</v>
      </c>
      <c r="I96" s="133"/>
      <c r="J96" s="140"/>
      <c r="K96" s="143"/>
      <c r="L96" s="163" t="str">
        <f t="shared" si="15"/>
        <v>-</v>
      </c>
      <c r="M96" s="163" t="str">
        <f t="shared" si="16"/>
        <v>-</v>
      </c>
      <c r="N96" s="138" t="s">
        <v>25</v>
      </c>
    </row>
    <row r="97" spans="1:14" s="139" customFormat="1" ht="15.95" customHeight="1">
      <c r="A97" t="str">
        <f t="shared" si="12"/>
        <v/>
      </c>
      <c r="B97" s="175" t="s">
        <v>229</v>
      </c>
      <c r="C97" s="130" t="s">
        <v>192</v>
      </c>
      <c r="D97" s="131">
        <f>SUM(D98:D102)</f>
        <v>400</v>
      </c>
      <c r="E97" s="131">
        <f>SUM(E98:E102)</f>
        <v>0</v>
      </c>
      <c r="F97" s="132">
        <f>SUM(F98:F102)</f>
        <v>619</v>
      </c>
      <c r="G97" s="131">
        <f>SUM(G98:G102)</f>
        <v>0</v>
      </c>
      <c r="H97" s="163">
        <f t="shared" si="14"/>
        <v>1.5475000000000001</v>
      </c>
      <c r="I97" s="133"/>
      <c r="J97" s="131">
        <f>SUM(J98:J102)</f>
        <v>213</v>
      </c>
      <c r="K97" s="132">
        <f>SUM(K98:K102)</f>
        <v>619</v>
      </c>
      <c r="L97" s="163">
        <f t="shared" si="15"/>
        <v>1</v>
      </c>
      <c r="M97" s="163">
        <f t="shared" si="16"/>
        <v>1.5475000000000001</v>
      </c>
      <c r="N97" s="138" t="s">
        <v>230</v>
      </c>
    </row>
    <row r="98" spans="1:14" s="135" customFormat="1" ht="15.95" customHeight="1">
      <c r="A98">
        <f t="shared" si="12"/>
        <v>1</v>
      </c>
      <c r="B98" s="175"/>
      <c r="C98" s="130" t="s">
        <v>193</v>
      </c>
      <c r="D98" s="140"/>
      <c r="E98" s="141"/>
      <c r="F98" s="142"/>
      <c r="G98" s="137"/>
      <c r="H98" s="163" t="str">
        <f t="shared" si="14"/>
        <v>-</v>
      </c>
      <c r="I98" s="133"/>
      <c r="J98" s="140"/>
      <c r="K98" s="143"/>
      <c r="L98" s="163" t="str">
        <f t="shared" si="15"/>
        <v>-</v>
      </c>
      <c r="M98" s="163" t="str">
        <f t="shared" si="16"/>
        <v>-</v>
      </c>
      <c r="N98" s="138" t="s">
        <v>25</v>
      </c>
    </row>
    <row r="99" spans="1:14" s="135" customFormat="1" ht="15.95" customHeight="1">
      <c r="A99">
        <f t="shared" si="12"/>
        <v>1</v>
      </c>
      <c r="B99" s="175"/>
      <c r="C99" s="130" t="s">
        <v>202</v>
      </c>
      <c r="D99" s="140"/>
      <c r="E99" s="141"/>
      <c r="F99" s="142"/>
      <c r="G99" s="137"/>
      <c r="H99" s="163" t="str">
        <f t="shared" si="14"/>
        <v>-</v>
      </c>
      <c r="I99" s="133"/>
      <c r="J99" s="140"/>
      <c r="K99" s="143"/>
      <c r="L99" s="163" t="str">
        <f t="shared" si="15"/>
        <v>-</v>
      </c>
      <c r="M99" s="163" t="str">
        <f t="shared" si="16"/>
        <v>-</v>
      </c>
      <c r="N99" s="138" t="s">
        <v>25</v>
      </c>
    </row>
    <row r="100" spans="1:14" s="135" customFormat="1" ht="15.95" customHeight="1">
      <c r="A100" t="str">
        <f t="shared" si="12"/>
        <v/>
      </c>
      <c r="B100" s="175"/>
      <c r="C100" s="130" t="s">
        <v>197</v>
      </c>
      <c r="D100" s="140">
        <f>124+276</f>
        <v>400</v>
      </c>
      <c r="E100" s="141"/>
      <c r="F100" s="142">
        <f>205+414</f>
        <v>619</v>
      </c>
      <c r="G100" s="137"/>
      <c r="H100" s="163">
        <f t="shared" si="14"/>
        <v>1.5475000000000001</v>
      </c>
      <c r="I100" s="133"/>
      <c r="J100" s="140">
        <f>44+169</f>
        <v>213</v>
      </c>
      <c r="K100" s="143">
        <v>619</v>
      </c>
      <c r="L100" s="163">
        <f t="shared" si="15"/>
        <v>1</v>
      </c>
      <c r="M100" s="163">
        <f t="shared" si="16"/>
        <v>1.5475000000000001</v>
      </c>
      <c r="N100" s="138" t="s">
        <v>25</v>
      </c>
    </row>
    <row r="101" spans="1:14" s="135" customFormat="1" ht="15.95" customHeight="1">
      <c r="A101">
        <f t="shared" si="12"/>
        <v>1</v>
      </c>
      <c r="B101" s="175"/>
      <c r="C101" s="130" t="s">
        <v>198</v>
      </c>
      <c r="D101" s="140"/>
      <c r="E101" s="141"/>
      <c r="F101" s="142"/>
      <c r="G101" s="137"/>
      <c r="H101" s="163" t="str">
        <f t="shared" si="14"/>
        <v>-</v>
      </c>
      <c r="I101" s="133"/>
      <c r="J101" s="140"/>
      <c r="K101" s="143"/>
      <c r="L101" s="163" t="str">
        <f t="shared" si="15"/>
        <v>-</v>
      </c>
      <c r="M101" s="163" t="str">
        <f t="shared" si="16"/>
        <v>-</v>
      </c>
      <c r="N101" s="138" t="s">
        <v>25</v>
      </c>
    </row>
    <row r="102" spans="1:14" s="135" customFormat="1" ht="15.95" customHeight="1">
      <c r="A102">
        <f t="shared" si="12"/>
        <v>1</v>
      </c>
      <c r="B102" s="175"/>
      <c r="C102" s="130" t="s">
        <v>199</v>
      </c>
      <c r="D102" s="140"/>
      <c r="E102" s="141"/>
      <c r="F102" s="142"/>
      <c r="G102" s="137"/>
      <c r="H102" s="163" t="str">
        <f t="shared" si="14"/>
        <v>-</v>
      </c>
      <c r="I102" s="133"/>
      <c r="J102" s="140"/>
      <c r="K102" s="143"/>
      <c r="L102" s="163" t="str">
        <f t="shared" si="15"/>
        <v>-</v>
      </c>
      <c r="M102" s="163" t="str">
        <f t="shared" si="16"/>
        <v>-</v>
      </c>
      <c r="N102" s="138" t="s">
        <v>25</v>
      </c>
    </row>
    <row r="103" spans="1:14" s="139" customFormat="1" ht="15.95" customHeight="1">
      <c r="A103" t="str">
        <f t="shared" si="12"/>
        <v/>
      </c>
      <c r="B103" s="175" t="s">
        <v>231</v>
      </c>
      <c r="C103" s="130" t="s">
        <v>192</v>
      </c>
      <c r="D103" s="131">
        <f>SUM(D104:D108)</f>
        <v>13320</v>
      </c>
      <c r="E103" s="131">
        <f>SUM(E104:E108)</f>
        <v>0</v>
      </c>
      <c r="F103" s="132">
        <f>SUM(F104:F108)</f>
        <v>21882</v>
      </c>
      <c r="G103" s="131">
        <f>SUM(G104:G108)</f>
        <v>0</v>
      </c>
      <c r="H103" s="163">
        <f t="shared" si="14"/>
        <v>1.6427927927927928</v>
      </c>
      <c r="I103" s="133"/>
      <c r="J103" s="131">
        <f>SUM(J104:J108)</f>
        <v>15708</v>
      </c>
      <c r="K103" s="132">
        <f>SUM(K104:K108)</f>
        <v>20373</v>
      </c>
      <c r="L103" s="163">
        <f t="shared" si="15"/>
        <v>0.93103921030984371</v>
      </c>
      <c r="M103" s="163">
        <f t="shared" si="16"/>
        <v>1.5295045045045046</v>
      </c>
      <c r="N103" s="138" t="s">
        <v>232</v>
      </c>
    </row>
    <row r="104" spans="1:14" s="135" customFormat="1" ht="15.95" customHeight="1">
      <c r="A104">
        <f t="shared" si="12"/>
        <v>1</v>
      </c>
      <c r="B104" s="175"/>
      <c r="C104" s="130" t="s">
        <v>193</v>
      </c>
      <c r="D104" s="140"/>
      <c r="E104" s="141"/>
      <c r="F104" s="142"/>
      <c r="G104" s="137"/>
      <c r="H104" s="163" t="str">
        <f t="shared" si="14"/>
        <v>-</v>
      </c>
      <c r="I104" s="133"/>
      <c r="J104" s="140"/>
      <c r="K104" s="143"/>
      <c r="L104" s="163" t="str">
        <f t="shared" si="15"/>
        <v>-</v>
      </c>
      <c r="M104" s="163" t="str">
        <f t="shared" si="16"/>
        <v>-</v>
      </c>
      <c r="N104" s="138" t="s">
        <v>25</v>
      </c>
    </row>
    <row r="105" spans="1:14" s="135" customFormat="1" ht="15.95" customHeight="1">
      <c r="A105" t="str">
        <f t="shared" si="12"/>
        <v/>
      </c>
      <c r="B105" s="175"/>
      <c r="C105" s="130" t="s">
        <v>202</v>
      </c>
      <c r="D105" s="140">
        <f>50+300+500+56</f>
        <v>906</v>
      </c>
      <c r="E105" s="141"/>
      <c r="F105" s="142">
        <f>5000+315+58</f>
        <v>5373</v>
      </c>
      <c r="G105" s="137"/>
      <c r="H105" s="163">
        <f t="shared" si="14"/>
        <v>5.9304635761589406</v>
      </c>
      <c r="I105" s="133"/>
      <c r="J105" s="140">
        <f>315+58+4178</f>
        <v>4551</v>
      </c>
      <c r="K105" s="143">
        <v>5373</v>
      </c>
      <c r="L105" s="163">
        <f t="shared" si="15"/>
        <v>1</v>
      </c>
      <c r="M105" s="163">
        <f t="shared" si="16"/>
        <v>5.9304635761589406</v>
      </c>
      <c r="N105" s="138" t="s">
        <v>25</v>
      </c>
    </row>
    <row r="106" spans="1:14" s="135" customFormat="1" ht="15.95" customHeight="1">
      <c r="A106" t="str">
        <f t="shared" si="12"/>
        <v/>
      </c>
      <c r="B106" s="175"/>
      <c r="C106" s="130" t="s">
        <v>197</v>
      </c>
      <c r="D106" s="140">
        <f>13320-D105</f>
        <v>12414</v>
      </c>
      <c r="E106" s="141"/>
      <c r="F106" s="142">
        <f>21882-F105</f>
        <v>16509</v>
      </c>
      <c r="G106" s="137"/>
      <c r="H106" s="163">
        <f t="shared" si="14"/>
        <v>1.3298695021749638</v>
      </c>
      <c r="I106" s="133"/>
      <c r="J106" s="140">
        <f>15708-J105</f>
        <v>11157</v>
      </c>
      <c r="K106" s="143">
        <v>15000</v>
      </c>
      <c r="L106" s="163">
        <f t="shared" si="15"/>
        <v>0.90859531164819185</v>
      </c>
      <c r="M106" s="163">
        <f t="shared" si="16"/>
        <v>1.2083131947800869</v>
      </c>
      <c r="N106" s="138" t="s">
        <v>25</v>
      </c>
    </row>
    <row r="107" spans="1:14" s="135" customFormat="1" ht="15.95" customHeight="1">
      <c r="A107">
        <f t="shared" si="12"/>
        <v>1</v>
      </c>
      <c r="B107" s="175"/>
      <c r="C107" s="130" t="s">
        <v>198</v>
      </c>
      <c r="D107" s="140"/>
      <c r="E107" s="141"/>
      <c r="F107" s="142"/>
      <c r="G107" s="137"/>
      <c r="H107" s="163" t="str">
        <f t="shared" si="14"/>
        <v>-</v>
      </c>
      <c r="I107" s="133"/>
      <c r="J107" s="140"/>
      <c r="K107" s="143"/>
      <c r="L107" s="163" t="str">
        <f t="shared" si="15"/>
        <v>-</v>
      </c>
      <c r="M107" s="163" t="str">
        <f t="shared" si="16"/>
        <v>-</v>
      </c>
      <c r="N107" s="138" t="s">
        <v>25</v>
      </c>
    </row>
    <row r="108" spans="1:14" s="135" customFormat="1" ht="15.95" customHeight="1">
      <c r="A108">
        <f t="shared" si="12"/>
        <v>1</v>
      </c>
      <c r="B108" s="175"/>
      <c r="C108" s="130" t="s">
        <v>199</v>
      </c>
      <c r="D108" s="140"/>
      <c r="E108" s="141"/>
      <c r="F108" s="142"/>
      <c r="G108" s="137"/>
      <c r="H108" s="163" t="str">
        <f t="shared" si="14"/>
        <v>-</v>
      </c>
      <c r="I108" s="133"/>
      <c r="J108" s="140"/>
      <c r="K108" s="143"/>
      <c r="L108" s="163" t="str">
        <f t="shared" si="15"/>
        <v>-</v>
      </c>
      <c r="M108" s="163" t="str">
        <f t="shared" si="16"/>
        <v>-</v>
      </c>
      <c r="N108" s="138" t="s">
        <v>25</v>
      </c>
    </row>
    <row r="109" spans="1:14" s="139" customFormat="1" ht="15.95" customHeight="1">
      <c r="A109">
        <f t="shared" si="12"/>
        <v>1</v>
      </c>
      <c r="B109" s="175" t="s">
        <v>233</v>
      </c>
      <c r="C109" s="130" t="s">
        <v>192</v>
      </c>
      <c r="D109" s="131">
        <f>SUM(D110:D114)</f>
        <v>0</v>
      </c>
      <c r="E109" s="131">
        <f>SUM(E110:E114)</f>
        <v>0</v>
      </c>
      <c r="F109" s="132">
        <f>SUM(F110:F114)</f>
        <v>0</v>
      </c>
      <c r="G109" s="131">
        <f>SUM(G110:G114)</f>
        <v>0</v>
      </c>
      <c r="H109" s="163" t="str">
        <f t="shared" si="14"/>
        <v>-</v>
      </c>
      <c r="I109" s="133"/>
      <c r="J109" s="131">
        <f>SUM(J110:J114)</f>
        <v>0</v>
      </c>
      <c r="K109" s="132">
        <f>SUM(K110:K114)</f>
        <v>0</v>
      </c>
      <c r="L109" s="163" t="str">
        <f t="shared" si="15"/>
        <v>-</v>
      </c>
      <c r="M109" s="163" t="str">
        <f t="shared" si="16"/>
        <v>-</v>
      </c>
      <c r="N109" s="138" t="s">
        <v>234</v>
      </c>
    </row>
    <row r="110" spans="1:14" s="135" customFormat="1" ht="15.95" customHeight="1">
      <c r="A110">
        <f t="shared" si="12"/>
        <v>1</v>
      </c>
      <c r="B110" s="175"/>
      <c r="C110" s="130" t="s">
        <v>193</v>
      </c>
      <c r="D110" s="140"/>
      <c r="E110" s="141"/>
      <c r="F110" s="142"/>
      <c r="G110" s="137"/>
      <c r="H110" s="163" t="str">
        <f t="shared" si="14"/>
        <v>-</v>
      </c>
      <c r="I110" s="133"/>
      <c r="J110" s="140"/>
      <c r="K110" s="143"/>
      <c r="L110" s="163" t="str">
        <f t="shared" si="15"/>
        <v>-</v>
      </c>
      <c r="M110" s="163" t="str">
        <f t="shared" si="16"/>
        <v>-</v>
      </c>
      <c r="N110" s="138" t="s">
        <v>25</v>
      </c>
    </row>
    <row r="111" spans="1:14" s="135" customFormat="1" ht="15.95" customHeight="1">
      <c r="A111">
        <f t="shared" si="12"/>
        <v>1</v>
      </c>
      <c r="B111" s="175"/>
      <c r="C111" s="130" t="s">
        <v>202</v>
      </c>
      <c r="D111" s="140"/>
      <c r="E111" s="141"/>
      <c r="F111" s="142"/>
      <c r="G111" s="137"/>
      <c r="H111" s="163" t="str">
        <f t="shared" si="14"/>
        <v>-</v>
      </c>
      <c r="I111" s="133"/>
      <c r="J111" s="140"/>
      <c r="K111" s="143"/>
      <c r="L111" s="163" t="str">
        <f t="shared" si="15"/>
        <v>-</v>
      </c>
      <c r="M111" s="163" t="str">
        <f t="shared" si="16"/>
        <v>-</v>
      </c>
      <c r="N111" s="138" t="s">
        <v>25</v>
      </c>
    </row>
    <row r="112" spans="1:14" s="135" customFormat="1" ht="15.95" customHeight="1">
      <c r="A112">
        <f t="shared" si="12"/>
        <v>1</v>
      </c>
      <c r="B112" s="175"/>
      <c r="C112" s="130" t="s">
        <v>197</v>
      </c>
      <c r="D112" s="140"/>
      <c r="E112" s="141"/>
      <c r="F112" s="142"/>
      <c r="G112" s="137"/>
      <c r="H112" s="163" t="str">
        <f t="shared" si="14"/>
        <v>-</v>
      </c>
      <c r="I112" s="133"/>
      <c r="J112" s="140"/>
      <c r="K112" s="143"/>
      <c r="L112" s="163" t="str">
        <f t="shared" si="15"/>
        <v>-</v>
      </c>
      <c r="M112" s="163" t="str">
        <f t="shared" si="16"/>
        <v>-</v>
      </c>
      <c r="N112" s="138" t="s">
        <v>25</v>
      </c>
    </row>
    <row r="113" spans="1:14" s="135" customFormat="1" ht="15.95" customHeight="1">
      <c r="A113">
        <f t="shared" si="12"/>
        <v>1</v>
      </c>
      <c r="B113" s="175"/>
      <c r="C113" s="130" t="s">
        <v>198</v>
      </c>
      <c r="D113" s="140"/>
      <c r="E113" s="141"/>
      <c r="F113" s="142"/>
      <c r="G113" s="137"/>
      <c r="H113" s="163" t="str">
        <f t="shared" si="14"/>
        <v>-</v>
      </c>
      <c r="I113" s="133"/>
      <c r="J113" s="140"/>
      <c r="K113" s="143"/>
      <c r="L113" s="163" t="str">
        <f t="shared" si="15"/>
        <v>-</v>
      </c>
      <c r="M113" s="163" t="str">
        <f t="shared" si="16"/>
        <v>-</v>
      </c>
      <c r="N113" s="138" t="s">
        <v>25</v>
      </c>
    </row>
    <row r="114" spans="1:14" s="135" customFormat="1" ht="15.95" customHeight="1">
      <c r="A114">
        <f t="shared" si="12"/>
        <v>1</v>
      </c>
      <c r="B114" s="175"/>
      <c r="C114" s="130" t="s">
        <v>199</v>
      </c>
      <c r="D114" s="140"/>
      <c r="E114" s="141"/>
      <c r="F114" s="142"/>
      <c r="G114" s="137"/>
      <c r="H114" s="163" t="str">
        <f t="shared" si="14"/>
        <v>-</v>
      </c>
      <c r="I114" s="133"/>
      <c r="J114" s="140"/>
      <c r="K114" s="143"/>
      <c r="L114" s="163" t="str">
        <f t="shared" si="15"/>
        <v>-</v>
      </c>
      <c r="M114" s="163" t="str">
        <f t="shared" si="16"/>
        <v>-</v>
      </c>
      <c r="N114" s="138" t="s">
        <v>25</v>
      </c>
    </row>
    <row r="115" spans="1:14" s="139" customFormat="1" ht="15.95" customHeight="1">
      <c r="A115" t="str">
        <f t="shared" si="12"/>
        <v/>
      </c>
      <c r="B115" s="175" t="s">
        <v>235</v>
      </c>
      <c r="C115" s="130" t="s">
        <v>192</v>
      </c>
      <c r="D115" s="131">
        <f>SUM(D116:D120)</f>
        <v>95878</v>
      </c>
      <c r="E115" s="131">
        <f>SUM(E116:E120)</f>
        <v>0</v>
      </c>
      <c r="F115" s="132">
        <f>SUM(F116:F120)</f>
        <v>14053</v>
      </c>
      <c r="G115" s="131">
        <f>SUM(G116:G120)</f>
        <v>0</v>
      </c>
      <c r="H115" s="163">
        <f t="shared" si="14"/>
        <v>0.14657168484949623</v>
      </c>
      <c r="I115" s="133"/>
      <c r="J115" s="131">
        <f>SUM(J116:J120)</f>
        <v>7964</v>
      </c>
      <c r="K115" s="132">
        <f>SUM(K116:K120)</f>
        <v>14000</v>
      </c>
      <c r="L115" s="163">
        <f t="shared" si="15"/>
        <v>0.99622856329609333</v>
      </c>
      <c r="M115" s="163">
        <f t="shared" si="16"/>
        <v>0.1460188990175014</v>
      </c>
      <c r="N115" s="138" t="s">
        <v>236</v>
      </c>
    </row>
    <row r="116" spans="1:14" s="135" customFormat="1" ht="15.95" customHeight="1">
      <c r="A116">
        <f t="shared" si="12"/>
        <v>1</v>
      </c>
      <c r="B116" s="175"/>
      <c r="C116" s="130" t="s">
        <v>193</v>
      </c>
      <c r="D116" s="140"/>
      <c r="E116" s="141"/>
      <c r="F116" s="142"/>
      <c r="G116" s="137"/>
      <c r="H116" s="163" t="str">
        <f t="shared" si="14"/>
        <v>-</v>
      </c>
      <c r="I116" s="133"/>
      <c r="J116" s="140"/>
      <c r="K116" s="143"/>
      <c r="L116" s="163" t="str">
        <f t="shared" si="15"/>
        <v>-</v>
      </c>
      <c r="M116" s="163" t="str">
        <f t="shared" si="16"/>
        <v>-</v>
      </c>
      <c r="N116" s="138" t="s">
        <v>25</v>
      </c>
    </row>
    <row r="117" spans="1:14" s="135" customFormat="1" ht="15.95" customHeight="1">
      <c r="A117" t="str">
        <f t="shared" si="12"/>
        <v/>
      </c>
      <c r="B117" s="175"/>
      <c r="C117" s="130" t="s">
        <v>202</v>
      </c>
      <c r="D117" s="140">
        <f>58662</f>
        <v>58662</v>
      </c>
      <c r="E117" s="141"/>
      <c r="F117" s="142">
        <v>500</v>
      </c>
      <c r="G117" s="137"/>
      <c r="H117" s="163">
        <f t="shared" si="14"/>
        <v>8.5234052708738194E-3</v>
      </c>
      <c r="I117" s="133"/>
      <c r="J117" s="140"/>
      <c r="K117" s="143">
        <v>500</v>
      </c>
      <c r="L117" s="163">
        <f t="shared" si="15"/>
        <v>1</v>
      </c>
      <c r="M117" s="163" t="str">
        <f t="shared" si="16"/>
        <v>-</v>
      </c>
      <c r="N117" s="138" t="s">
        <v>25</v>
      </c>
    </row>
    <row r="118" spans="1:14" s="135" customFormat="1" ht="15.95" customHeight="1">
      <c r="A118" t="str">
        <f t="shared" si="12"/>
        <v/>
      </c>
      <c r="B118" s="175"/>
      <c r="C118" s="130" t="s">
        <v>197</v>
      </c>
      <c r="D118" s="140">
        <f>95878-D117</f>
        <v>37216</v>
      </c>
      <c r="E118" s="141"/>
      <c r="F118" s="142">
        <f>14053-F117</f>
        <v>13553</v>
      </c>
      <c r="G118" s="137"/>
      <c r="H118" s="163">
        <f t="shared" si="14"/>
        <v>0.36417132416165088</v>
      </c>
      <c r="I118" s="133"/>
      <c r="J118" s="140">
        <v>7964</v>
      </c>
      <c r="K118" s="143">
        <v>13500</v>
      </c>
      <c r="L118" s="163">
        <f t="shared" si="15"/>
        <v>0.99608942669519662</v>
      </c>
      <c r="M118" s="163">
        <f t="shared" si="16"/>
        <v>0.36274720550300948</v>
      </c>
      <c r="N118" s="138" t="s">
        <v>25</v>
      </c>
    </row>
    <row r="119" spans="1:14" s="135" customFormat="1" ht="15.95" customHeight="1">
      <c r="A119">
        <f t="shared" si="12"/>
        <v>1</v>
      </c>
      <c r="B119" s="175"/>
      <c r="C119" s="130" t="s">
        <v>198</v>
      </c>
      <c r="D119" s="140"/>
      <c r="E119" s="141"/>
      <c r="F119" s="142"/>
      <c r="G119" s="137"/>
      <c r="H119" s="163" t="str">
        <f t="shared" si="14"/>
        <v>-</v>
      </c>
      <c r="I119" s="133"/>
      <c r="J119" s="140"/>
      <c r="K119" s="143"/>
      <c r="L119" s="163" t="str">
        <f t="shared" si="15"/>
        <v>-</v>
      </c>
      <c r="M119" s="163" t="str">
        <f t="shared" si="16"/>
        <v>-</v>
      </c>
      <c r="N119" s="138" t="s">
        <v>25</v>
      </c>
    </row>
    <row r="120" spans="1:14" s="135" customFormat="1" ht="15.95" customHeight="1">
      <c r="A120">
        <f t="shared" si="12"/>
        <v>1</v>
      </c>
      <c r="B120" s="175"/>
      <c r="C120" s="130" t="s">
        <v>199</v>
      </c>
      <c r="D120" s="140"/>
      <c r="E120" s="141"/>
      <c r="F120" s="142"/>
      <c r="G120" s="137"/>
      <c r="H120" s="163" t="str">
        <f t="shared" si="14"/>
        <v>-</v>
      </c>
      <c r="I120" s="133"/>
      <c r="J120" s="140"/>
      <c r="K120" s="143"/>
      <c r="L120" s="163" t="str">
        <f t="shared" si="15"/>
        <v>-</v>
      </c>
      <c r="M120" s="163" t="str">
        <f t="shared" si="16"/>
        <v>-</v>
      </c>
      <c r="N120" s="138" t="s">
        <v>25</v>
      </c>
    </row>
    <row r="121" spans="1:14" s="139" customFormat="1" ht="15.95" customHeight="1">
      <c r="A121" t="str">
        <f t="shared" si="12"/>
        <v/>
      </c>
      <c r="B121" s="175" t="s">
        <v>237</v>
      </c>
      <c r="C121" s="130" t="s">
        <v>192</v>
      </c>
      <c r="D121" s="131">
        <f>SUM(D122:D126)</f>
        <v>22638</v>
      </c>
      <c r="E121" s="131">
        <f>SUM(E122:E126)</f>
        <v>0</v>
      </c>
      <c r="F121" s="132">
        <f>SUM(F122:F126)</f>
        <v>21724</v>
      </c>
      <c r="G121" s="131">
        <f>SUM(G122:G126)</f>
        <v>0</v>
      </c>
      <c r="H121" s="163">
        <f t="shared" si="14"/>
        <v>0.95962540860500045</v>
      </c>
      <c r="I121" s="133"/>
      <c r="J121" s="131">
        <f>SUM(J122:J126)</f>
        <v>14133</v>
      </c>
      <c r="K121" s="132">
        <f>SUM(K122:K126)</f>
        <v>21678</v>
      </c>
      <c r="L121" s="163">
        <f t="shared" si="15"/>
        <v>0.99788252623826179</v>
      </c>
      <c r="M121" s="163">
        <f t="shared" si="16"/>
        <v>0.95759342698118211</v>
      </c>
      <c r="N121" s="138" t="s">
        <v>238</v>
      </c>
    </row>
    <row r="122" spans="1:14" s="135" customFormat="1" ht="15.95" customHeight="1">
      <c r="A122">
        <f t="shared" si="12"/>
        <v>1</v>
      </c>
      <c r="B122" s="175"/>
      <c r="C122" s="130" t="s">
        <v>193</v>
      </c>
      <c r="D122" s="140"/>
      <c r="E122" s="141"/>
      <c r="F122" s="142"/>
      <c r="G122" s="137"/>
      <c r="H122" s="163" t="str">
        <f t="shared" si="14"/>
        <v>-</v>
      </c>
      <c r="I122" s="133"/>
      <c r="J122" s="140"/>
      <c r="K122" s="143"/>
      <c r="L122" s="163" t="str">
        <f t="shared" si="15"/>
        <v>-</v>
      </c>
      <c r="M122" s="163" t="str">
        <f t="shared" si="16"/>
        <v>-</v>
      </c>
      <c r="N122" s="138" t="s">
        <v>25</v>
      </c>
    </row>
    <row r="123" spans="1:14" s="135" customFormat="1" ht="15.95" customHeight="1">
      <c r="A123" t="str">
        <f t="shared" si="12"/>
        <v/>
      </c>
      <c r="B123" s="175"/>
      <c r="C123" s="130" t="s">
        <v>202</v>
      </c>
      <c r="D123" s="140">
        <f>4100+405+2732+3332+249+102+1192+1022+424</f>
        <v>13558</v>
      </c>
      <c r="E123" s="141"/>
      <c r="F123" s="142">
        <f>4204+2570+3196+129+1192+1187</f>
        <v>12478</v>
      </c>
      <c r="G123" s="137"/>
      <c r="H123" s="163">
        <f t="shared" si="14"/>
        <v>0.92034223336775334</v>
      </c>
      <c r="I123" s="133"/>
      <c r="J123" s="140">
        <f>3153+1650+2305+73+805+805</f>
        <v>8791</v>
      </c>
      <c r="K123" s="143">
        <v>12478</v>
      </c>
      <c r="L123" s="163">
        <f t="shared" si="15"/>
        <v>1</v>
      </c>
      <c r="M123" s="163">
        <f t="shared" si="16"/>
        <v>0.92034223336775334</v>
      </c>
      <c r="N123" s="138" t="s">
        <v>25</v>
      </c>
    </row>
    <row r="124" spans="1:14" s="135" customFormat="1" ht="15.95" customHeight="1">
      <c r="A124" t="str">
        <f t="shared" si="12"/>
        <v/>
      </c>
      <c r="B124" s="175"/>
      <c r="C124" s="130" t="s">
        <v>197</v>
      </c>
      <c r="D124" s="140">
        <f>22638-D123</f>
        <v>9080</v>
      </c>
      <c r="E124" s="141"/>
      <c r="F124" s="142">
        <f>21724-F123</f>
        <v>9246</v>
      </c>
      <c r="G124" s="137"/>
      <c r="H124" s="163">
        <f t="shared" si="14"/>
        <v>1.0182819383259911</v>
      </c>
      <c r="I124" s="133"/>
      <c r="J124" s="140">
        <f>14133-J123</f>
        <v>5342</v>
      </c>
      <c r="K124" s="143">
        <v>9200</v>
      </c>
      <c r="L124" s="163">
        <f t="shared" si="15"/>
        <v>0.99502487562189057</v>
      </c>
      <c r="M124" s="163">
        <f t="shared" si="16"/>
        <v>1.0132158590308371</v>
      </c>
      <c r="N124" s="138" t="s">
        <v>25</v>
      </c>
    </row>
    <row r="125" spans="1:14" s="135" customFormat="1" ht="15.95" customHeight="1">
      <c r="A125">
        <f t="shared" si="12"/>
        <v>1</v>
      </c>
      <c r="B125" s="175"/>
      <c r="C125" s="130" t="s">
        <v>198</v>
      </c>
      <c r="D125" s="140"/>
      <c r="E125" s="141"/>
      <c r="F125" s="142"/>
      <c r="G125" s="137"/>
      <c r="H125" s="163" t="str">
        <f t="shared" si="14"/>
        <v>-</v>
      </c>
      <c r="I125" s="133"/>
      <c r="J125" s="140"/>
      <c r="K125" s="143"/>
      <c r="L125" s="163" t="str">
        <f t="shared" si="15"/>
        <v>-</v>
      </c>
      <c r="M125" s="163" t="str">
        <f t="shared" si="16"/>
        <v>-</v>
      </c>
      <c r="N125" s="138" t="s">
        <v>25</v>
      </c>
    </row>
    <row r="126" spans="1:14" s="135" customFormat="1" ht="15.95" customHeight="1">
      <c r="A126">
        <f t="shared" si="12"/>
        <v>1</v>
      </c>
      <c r="B126" s="175"/>
      <c r="C126" s="130" t="s">
        <v>199</v>
      </c>
      <c r="D126" s="140"/>
      <c r="E126" s="141"/>
      <c r="F126" s="142"/>
      <c r="G126" s="137"/>
      <c r="H126" s="163" t="str">
        <f t="shared" si="14"/>
        <v>-</v>
      </c>
      <c r="I126" s="133"/>
      <c r="J126" s="140"/>
      <c r="K126" s="143"/>
      <c r="L126" s="163" t="str">
        <f t="shared" si="15"/>
        <v>-</v>
      </c>
      <c r="M126" s="163" t="str">
        <f t="shared" si="16"/>
        <v>-</v>
      </c>
      <c r="N126" s="138" t="s">
        <v>25</v>
      </c>
    </row>
    <row r="127" spans="1:14" s="139" customFormat="1" ht="42" customHeight="1">
      <c r="A127" t="str">
        <f t="shared" si="12"/>
        <v/>
      </c>
      <c r="B127" s="148" t="s">
        <v>239</v>
      </c>
      <c r="C127" s="149"/>
      <c r="D127" s="150">
        <v>798</v>
      </c>
      <c r="E127" s="150"/>
      <c r="F127" s="151"/>
      <c r="G127" s="150"/>
      <c r="H127" s="163">
        <f t="shared" si="14"/>
        <v>0</v>
      </c>
      <c r="I127" s="133"/>
      <c r="J127" s="150"/>
      <c r="K127" s="151"/>
      <c r="L127" s="163" t="str">
        <f t="shared" si="15"/>
        <v>-</v>
      </c>
      <c r="M127" s="163" t="str">
        <f t="shared" si="16"/>
        <v>-</v>
      </c>
      <c r="N127" s="138" t="s">
        <v>240</v>
      </c>
    </row>
    <row r="128" spans="1:14" s="152" customFormat="1" ht="15.95" customHeight="1">
      <c r="A128" t="str">
        <f t="shared" si="12"/>
        <v/>
      </c>
      <c r="B128" s="175" t="s">
        <v>241</v>
      </c>
      <c r="C128" s="130" t="s">
        <v>192</v>
      </c>
      <c r="D128" s="131">
        <f>SUM(D129:D133)</f>
        <v>14831</v>
      </c>
      <c r="E128" s="131">
        <f>SUM(E129:E133)</f>
        <v>0</v>
      </c>
      <c r="F128" s="132">
        <f>SUM(F129:F133)</f>
        <v>18022</v>
      </c>
      <c r="G128" s="131">
        <f>SUM(G129:G133)</f>
        <v>0</v>
      </c>
      <c r="H128" s="163">
        <f t="shared" si="14"/>
        <v>1.2151574404962577</v>
      </c>
      <c r="I128" s="133"/>
      <c r="J128" s="132">
        <f>SUM(J129:J133)</f>
        <v>12967</v>
      </c>
      <c r="K128" s="132">
        <f>SUM(K129:K133)</f>
        <v>16380</v>
      </c>
      <c r="L128" s="163">
        <f t="shared" si="15"/>
        <v>0.90888913550105421</v>
      </c>
      <c r="M128" s="163">
        <f t="shared" si="16"/>
        <v>1.1044433955903177</v>
      </c>
      <c r="N128" s="138" t="s">
        <v>25</v>
      </c>
    </row>
    <row r="129" spans="1:14" s="135" customFormat="1" ht="15.95" customHeight="1">
      <c r="A129">
        <f t="shared" si="12"/>
        <v>1</v>
      </c>
      <c r="B129" s="175"/>
      <c r="C129" s="130" t="s">
        <v>193</v>
      </c>
      <c r="D129" s="140"/>
      <c r="E129" s="141"/>
      <c r="F129" s="142"/>
      <c r="G129" s="137"/>
      <c r="H129" s="163" t="str">
        <f t="shared" si="14"/>
        <v>-</v>
      </c>
      <c r="I129" s="133"/>
      <c r="J129" s="140"/>
      <c r="K129" s="143"/>
      <c r="L129" s="163" t="str">
        <f t="shared" si="15"/>
        <v>-</v>
      </c>
      <c r="M129" s="163" t="str">
        <f t="shared" si="16"/>
        <v>-</v>
      </c>
      <c r="N129" s="138" t="s">
        <v>25</v>
      </c>
    </row>
    <row r="130" spans="1:14" s="135" customFormat="1" ht="15.95" customHeight="1">
      <c r="A130" t="str">
        <f t="shared" si="12"/>
        <v/>
      </c>
      <c r="B130" s="175"/>
      <c r="C130" s="130" t="s">
        <v>202</v>
      </c>
      <c r="D130" s="140">
        <f>754+491</f>
        <v>1245</v>
      </c>
      <c r="E130" s="141"/>
      <c r="F130" s="142">
        <f>847+761</f>
        <v>1608</v>
      </c>
      <c r="G130" s="137"/>
      <c r="H130" s="163">
        <f t="shared" si="14"/>
        <v>1.2915662650602409</v>
      </c>
      <c r="I130" s="133"/>
      <c r="J130" s="140">
        <f>635+529</f>
        <v>1164</v>
      </c>
      <c r="K130" s="143">
        <v>1608</v>
      </c>
      <c r="L130" s="163">
        <f t="shared" si="15"/>
        <v>1</v>
      </c>
      <c r="M130" s="163">
        <f t="shared" si="16"/>
        <v>1.2915662650602409</v>
      </c>
      <c r="N130" s="138" t="s">
        <v>25</v>
      </c>
    </row>
    <row r="131" spans="1:14" s="135" customFormat="1" ht="15.95" customHeight="1">
      <c r="A131" t="str">
        <f t="shared" si="12"/>
        <v/>
      </c>
      <c r="B131" s="175"/>
      <c r="C131" s="130" t="s">
        <v>197</v>
      </c>
      <c r="D131" s="140">
        <f>10138+3448</f>
        <v>13586</v>
      </c>
      <c r="E131" s="141"/>
      <c r="F131" s="142">
        <f>3882+12532</f>
        <v>16414</v>
      </c>
      <c r="G131" s="137"/>
      <c r="H131" s="163">
        <f t="shared" si="14"/>
        <v>1.2081554541439716</v>
      </c>
      <c r="I131" s="133"/>
      <c r="J131" s="140">
        <f>8891+2912</f>
        <v>11803</v>
      </c>
      <c r="K131" s="143">
        <v>14772</v>
      </c>
      <c r="L131" s="163">
        <f t="shared" si="15"/>
        <v>0.89996344583891796</v>
      </c>
      <c r="M131" s="163">
        <f t="shared" si="16"/>
        <v>1.0872957456204917</v>
      </c>
      <c r="N131" s="138" t="s">
        <v>25</v>
      </c>
    </row>
    <row r="132" spans="1:14" s="135" customFormat="1" ht="15.95" customHeight="1">
      <c r="A132">
        <f t="shared" si="12"/>
        <v>1</v>
      </c>
      <c r="B132" s="175"/>
      <c r="C132" s="130" t="s">
        <v>198</v>
      </c>
      <c r="D132" s="140"/>
      <c r="E132" s="141"/>
      <c r="F132" s="142"/>
      <c r="G132" s="137"/>
      <c r="H132" s="163" t="str">
        <f t="shared" si="14"/>
        <v>-</v>
      </c>
      <c r="I132" s="133"/>
      <c r="J132" s="140"/>
      <c r="K132" s="143"/>
      <c r="L132" s="163" t="str">
        <f t="shared" si="15"/>
        <v>-</v>
      </c>
      <c r="M132" s="163" t="str">
        <f t="shared" si="16"/>
        <v>-</v>
      </c>
      <c r="N132" s="138" t="s">
        <v>25</v>
      </c>
    </row>
    <row r="133" spans="1:14" s="135" customFormat="1" ht="15.95" customHeight="1">
      <c r="A133">
        <f t="shared" ref="A133" si="17">IF(SUM(D133:G133,J133:K133)&lt;&gt;0,"",1)</f>
        <v>1</v>
      </c>
      <c r="B133" s="175"/>
      <c r="C133" s="130" t="s">
        <v>199</v>
      </c>
      <c r="D133" s="140"/>
      <c r="E133" s="141"/>
      <c r="F133" s="142"/>
      <c r="G133" s="137"/>
      <c r="H133" s="163" t="str">
        <f t="shared" ref="H133" si="18">IF(D133&lt;&gt;0,IFERROR(F133/D133,"-"),"-")</f>
        <v>-</v>
      </c>
      <c r="I133" s="133"/>
      <c r="J133" s="140"/>
      <c r="K133" s="143"/>
      <c r="L133" s="163" t="str">
        <f>IF(F133&lt;&gt;0,IFERROR(K133/F133,"-"),"-")</f>
        <v>-</v>
      </c>
      <c r="M133" s="163" t="str">
        <f t="shared" si="16"/>
        <v>-</v>
      </c>
      <c r="N133" s="138" t="s">
        <v>25</v>
      </c>
    </row>
    <row r="134" spans="1:14" ht="18.75" hidden="1">
      <c r="N134" s="158"/>
    </row>
  </sheetData>
  <mergeCells count="24">
    <mergeCell ref="B55:B60"/>
    <mergeCell ref="D1:M1"/>
    <mergeCell ref="B2:M2"/>
    <mergeCell ref="B4:C4"/>
    <mergeCell ref="B5:B12"/>
    <mergeCell ref="B13:B18"/>
    <mergeCell ref="B19:B24"/>
    <mergeCell ref="B25:B30"/>
    <mergeCell ref="B31:B36"/>
    <mergeCell ref="B37:B42"/>
    <mergeCell ref="B43:B48"/>
    <mergeCell ref="B49:B54"/>
    <mergeCell ref="B128:B133"/>
    <mergeCell ref="B61:B66"/>
    <mergeCell ref="B67:B72"/>
    <mergeCell ref="B73:B78"/>
    <mergeCell ref="B79:B84"/>
    <mergeCell ref="B85:B90"/>
    <mergeCell ref="B91:B96"/>
    <mergeCell ref="B97:B102"/>
    <mergeCell ref="B103:B108"/>
    <mergeCell ref="B109:B114"/>
    <mergeCell ref="B115:B120"/>
    <mergeCell ref="B121:B126"/>
  </mergeCells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Лист2!Заголовки_для_печати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2021-11-15T09:16:42Z</cp:lastPrinted>
  <dcterms:created xsi:type="dcterms:W3CDTF">2015-06-05T18:19:34Z</dcterms:created>
  <dcterms:modified xsi:type="dcterms:W3CDTF">2021-11-15T09:16:46Z</dcterms:modified>
</cp:coreProperties>
</file>